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defaultThemeVersion="166925"/>
  <mc:AlternateContent xmlns:mc="http://schemas.openxmlformats.org/markup-compatibility/2006">
    <mc:Choice Requires="x15">
      <x15ac:absPath xmlns:x15ac="http://schemas.microsoft.com/office/spreadsheetml/2010/11/ac" url="I:\BTS-CG\2022-2023\BTSCG2\AP\WinFirme\Version finale\"/>
    </mc:Choice>
  </mc:AlternateContent>
  <xr:revisionPtr revIDLastSave="0" documentId="13_ncr:1_{2F61488F-32CD-4B8B-9ECF-318BF35A9090}" xr6:coauthVersionLast="36" xr6:coauthVersionMax="36" xr10:uidLastSave="{00000000-0000-0000-0000-000000000000}"/>
  <bookViews>
    <workbookView xWindow="0" yWindow="0" windowWidth="21570" windowHeight="7980" tabRatio="877" xr2:uid="{00000000-000D-0000-FFFF-FFFF00000000}"/>
  </bookViews>
  <sheets>
    <sheet name="Donnees_de_jeu" sheetId="1" r:id="rId1"/>
    <sheet name="Données_comptables" sheetId="2" r:id="rId2"/>
    <sheet name="Données_financières" sheetId="3" r:id="rId3"/>
    <sheet name="Données_RH" sheetId="17" r:id="rId4"/>
    <sheet name="Données_techniques" sheetId="4" r:id="rId5"/>
    <sheet name="Données_commerciales" sheetId="5" r:id="rId6"/>
    <sheet name="Charges_compta_analytique" sheetId="14" r:id="rId7"/>
    <sheet name="Coûts_partiels" sheetId="15" r:id="rId8"/>
    <sheet name="Coûts_complets" sheetId="16" r:id="rId9"/>
    <sheet name="Ecarts" sheetId="19" r:id="rId10"/>
    <sheet name="SIG" sheetId="9" r:id="rId11"/>
    <sheet name="(C)AF" sheetId="10" r:id="rId12"/>
    <sheet name="Bilan_fonc" sheetId="12" r:id="rId13"/>
    <sheet name="Proj_inv" sheetId="11" r:id="rId14"/>
    <sheet name="Ratios_analyse" sheetId="6" r:id="rId15"/>
  </sheets>
  <calcPr calcId="191029" iterateDelta="1E-4"/>
</workbook>
</file>

<file path=xl/calcChain.xml><?xml version="1.0" encoding="utf-8"?>
<calcChain xmlns="http://schemas.openxmlformats.org/spreadsheetml/2006/main">
  <c r="I3" i="14" l="1"/>
  <c r="D3" i="14"/>
  <c r="AH11" i="19" l="1"/>
  <c r="AJ11" i="19"/>
  <c r="AE11" i="19"/>
  <c r="AG11" i="19"/>
  <c r="AC11" i="19"/>
  <c r="AB11" i="19"/>
  <c r="AD16" i="19"/>
  <c r="BM48" i="19"/>
  <c r="BJ48" i="19"/>
  <c r="BG48" i="19"/>
  <c r="BF48" i="19"/>
  <c r="BH48" i="19" s="1"/>
  <c r="BM47" i="19"/>
  <c r="BJ47" i="19"/>
  <c r="BG47" i="19"/>
  <c r="BF47" i="19"/>
  <c r="BH47" i="19" s="1"/>
  <c r="BM44" i="19"/>
  <c r="BJ44" i="19"/>
  <c r="BG44" i="19"/>
  <c r="BF44" i="19"/>
  <c r="BH44" i="19" s="1"/>
  <c r="BM39" i="19"/>
  <c r="BJ39" i="19"/>
  <c r="BG39" i="19"/>
  <c r="BF39" i="19"/>
  <c r="BH39" i="19" s="1"/>
  <c r="BM37" i="19"/>
  <c r="BN37" i="19" s="1"/>
  <c r="BL37" i="19"/>
  <c r="BK37" i="19"/>
  <c r="BJ37" i="19"/>
  <c r="BI37" i="19"/>
  <c r="BG37" i="19"/>
  <c r="BF37" i="19"/>
  <c r="BH37" i="19" s="1"/>
  <c r="BM36" i="19"/>
  <c r="BN36" i="19" s="1"/>
  <c r="BL36" i="19"/>
  <c r="BJ36" i="19"/>
  <c r="BI36" i="19"/>
  <c r="BK36" i="19" s="1"/>
  <c r="BG36" i="19"/>
  <c r="BF36" i="19"/>
  <c r="BH36" i="19" s="1"/>
  <c r="BJ34" i="19"/>
  <c r="BM34" i="19"/>
  <c r="BF14" i="19"/>
  <c r="BI14" i="19"/>
  <c r="BH34" i="19"/>
  <c r="BH29" i="19"/>
  <c r="BG34" i="19"/>
  <c r="BG29" i="19"/>
  <c r="BF29" i="19"/>
  <c r="BF34" i="19"/>
  <c r="BF28" i="19"/>
  <c r="BJ29" i="19"/>
  <c r="BM29" i="19"/>
  <c r="BM28" i="19"/>
  <c r="BN28" i="19" s="1"/>
  <c r="BL28" i="19"/>
  <c r="BJ28" i="19"/>
  <c r="BK28" i="19" s="1"/>
  <c r="BI28" i="19"/>
  <c r="BG28" i="19"/>
  <c r="BH28" i="19" s="1"/>
  <c r="BM26" i="19"/>
  <c r="BN26" i="19" s="1"/>
  <c r="BL26" i="19"/>
  <c r="BM25" i="19"/>
  <c r="BL25" i="19"/>
  <c r="BN25" i="19" s="1"/>
  <c r="BJ26" i="19"/>
  <c r="BK26" i="19" s="1"/>
  <c r="BI26" i="19"/>
  <c r="BJ25" i="19"/>
  <c r="BI25" i="19"/>
  <c r="BK25" i="19" s="1"/>
  <c r="BF26" i="19"/>
  <c r="BG26" i="19"/>
  <c r="BH26" i="19"/>
  <c r="BH25" i="19"/>
  <c r="BG25" i="19"/>
  <c r="BG16" i="19"/>
  <c r="BF25" i="19"/>
  <c r="BF16" i="19"/>
  <c r="BF23" i="19"/>
  <c r="BG23" i="19"/>
  <c r="BH23" i="19"/>
  <c r="BJ23" i="19"/>
  <c r="BM23" i="19"/>
  <c r="BM18" i="19"/>
  <c r="BL18" i="19"/>
  <c r="BN18" i="19" s="1"/>
  <c r="BN23" i="19" s="1"/>
  <c r="BJ18" i="19"/>
  <c r="BI18" i="19"/>
  <c r="BK18" i="19" s="1"/>
  <c r="BK23" i="19" s="1"/>
  <c r="BG18" i="19"/>
  <c r="BH18" i="19" s="1"/>
  <c r="BF18" i="19"/>
  <c r="BK14" i="19"/>
  <c r="BH16" i="19"/>
  <c r="BH15" i="19"/>
  <c r="BH14" i="19"/>
  <c r="BG14" i="19"/>
  <c r="AJ51" i="19"/>
  <c r="AG51" i="19"/>
  <c r="AD51" i="19"/>
  <c r="AJ19" i="19"/>
  <c r="AG19" i="19"/>
  <c r="AD19" i="19"/>
  <c r="U41" i="19"/>
  <c r="U42" i="19"/>
  <c r="U40" i="19"/>
  <c r="U33" i="19"/>
  <c r="W42" i="19"/>
  <c r="V41" i="19"/>
  <c r="W41" i="19" s="1"/>
  <c r="V40" i="19"/>
  <c r="W40" i="19" s="1"/>
  <c r="AJ8" i="19"/>
  <c r="AG8" i="19"/>
  <c r="AD8" i="19"/>
  <c r="W34" i="19"/>
  <c r="W35" i="19"/>
  <c r="W33" i="19"/>
  <c r="V34" i="19"/>
  <c r="V33" i="19"/>
  <c r="V36" i="19" s="1"/>
  <c r="U34" i="19"/>
  <c r="U35" i="19"/>
  <c r="U26" i="19"/>
  <c r="AJ50" i="19"/>
  <c r="AG50" i="19"/>
  <c r="AD50" i="19"/>
  <c r="AJ18" i="19"/>
  <c r="AG18" i="19"/>
  <c r="AD18" i="19"/>
  <c r="BL16" i="19"/>
  <c r="BI16" i="19"/>
  <c r="BL23" i="19" l="1"/>
  <c r="BI23" i="19"/>
  <c r="W43" i="19"/>
  <c r="V43" i="19"/>
  <c r="W36" i="19"/>
  <c r="BB51" i="19"/>
  <c r="AY51" i="19"/>
  <c r="AV51" i="19"/>
  <c r="AX35" i="19"/>
  <c r="AX42" i="19"/>
  <c r="AX28" i="19"/>
  <c r="AF42" i="19"/>
  <c r="AF35" i="19"/>
  <c r="AF28" i="19"/>
  <c r="BB19" i="19"/>
  <c r="AY19" i="19"/>
  <c r="AV19" i="19"/>
  <c r="BA7" i="19"/>
  <c r="AX7" i="19"/>
  <c r="AH21" i="19"/>
  <c r="AE21" i="19"/>
  <c r="AB21" i="19"/>
  <c r="AP6" i="19"/>
  <c r="AP7" i="19"/>
  <c r="AO8" i="19"/>
  <c r="AP9" i="19"/>
  <c r="AO10" i="19"/>
  <c r="AO11" i="19"/>
  <c r="AO12" i="19"/>
  <c r="AP13" i="19"/>
  <c r="AP5" i="19"/>
  <c r="AM24" i="19"/>
  <c r="AL2" i="19"/>
  <c r="T2" i="19"/>
  <c r="B2" i="19"/>
  <c r="AR61" i="19"/>
  <c r="BD47" i="19" s="1"/>
  <c r="AT40" i="19"/>
  <c r="AS40" i="19"/>
  <c r="AT33" i="19"/>
  <c r="AS33" i="19"/>
  <c r="AM28" i="19"/>
  <c r="AM27" i="19"/>
  <c r="AT26" i="19"/>
  <c r="AS26" i="19"/>
  <c r="AM26" i="19"/>
  <c r="BB7" i="19"/>
  <c r="AM7" i="19"/>
  <c r="AM6" i="19"/>
  <c r="M41" i="19"/>
  <c r="P48" i="19" s="1"/>
  <c r="I26" i="19"/>
  <c r="J11" i="19"/>
  <c r="J16" i="19" s="1"/>
  <c r="J7" i="19"/>
  <c r="E27" i="19"/>
  <c r="M34" i="19" s="1"/>
  <c r="M48" i="19" s="1"/>
  <c r="E28" i="19"/>
  <c r="AO28" i="19" s="1"/>
  <c r="AW41" i="19" s="1"/>
  <c r="E26" i="19"/>
  <c r="AO26" i="19" s="1"/>
  <c r="AW27" i="19" s="1"/>
  <c r="AT48" i="19" s="1"/>
  <c r="AT53" i="19" s="1"/>
  <c r="AT58" i="19" s="1"/>
  <c r="AT62" i="19" s="1"/>
  <c r="D27" i="19"/>
  <c r="D28" i="19"/>
  <c r="P21" i="19" s="1"/>
  <c r="D26" i="19"/>
  <c r="J21" i="19" s="1"/>
  <c r="C28" i="19"/>
  <c r="C27" i="19"/>
  <c r="C26" i="19"/>
  <c r="U27" i="19"/>
  <c r="U28" i="19"/>
  <c r="M53" i="19" l="1"/>
  <c r="M58" i="19" s="1"/>
  <c r="P53" i="19"/>
  <c r="P58" i="19" s="1"/>
  <c r="AZ48" i="19"/>
  <c r="AZ53" i="19" s="1"/>
  <c r="AZ58" i="19" s="1"/>
  <c r="AZ62" i="19" s="1"/>
  <c r="D29" i="19"/>
  <c r="E17" i="19" s="1"/>
  <c r="AU40" i="19"/>
  <c r="AN28" i="19"/>
  <c r="AN26" i="19"/>
  <c r="AO27" i="19"/>
  <c r="AW34" i="19" s="1"/>
  <c r="AW48" i="19" s="1"/>
  <c r="AW53" i="19" s="1"/>
  <c r="AW58" i="19" s="1"/>
  <c r="AW62" i="19" s="1"/>
  <c r="M7" i="19"/>
  <c r="M21" i="19"/>
  <c r="M27" i="19"/>
  <c r="J48" i="19" s="1"/>
  <c r="P7" i="19"/>
  <c r="AN27" i="19"/>
  <c r="AU33" i="19"/>
  <c r="AU26" i="19"/>
  <c r="E29" i="19"/>
  <c r="AW21" i="19" l="1"/>
  <c r="AW7" i="19"/>
  <c r="AZ7" i="19"/>
  <c r="AZ11" i="19" s="1"/>
  <c r="AZ16" i="19" s="1"/>
  <c r="AZ21" i="19"/>
  <c r="AZ22" i="19" s="1"/>
  <c r="AS41" i="19" s="1"/>
  <c r="AS43" i="19" s="1"/>
  <c r="AW42" i="19" s="1"/>
  <c r="M62" i="19"/>
  <c r="P62" i="19"/>
  <c r="AO29" i="19"/>
  <c r="J53" i="19"/>
  <c r="J58" i="19" s="1"/>
  <c r="AN29" i="19"/>
  <c r="AO17" i="19" s="1"/>
  <c r="AT21" i="19"/>
  <c r="AT7" i="19"/>
  <c r="AY7" i="19" l="1"/>
  <c r="AW11" i="19"/>
  <c r="AW16" i="19" s="1"/>
  <c r="AY42" i="19"/>
  <c r="AW43" i="19"/>
  <c r="J62" i="19"/>
  <c r="AT11" i="19"/>
  <c r="AT16" i="19" s="1"/>
  <c r="AT22" i="19"/>
  <c r="AS27" i="19" s="1"/>
  <c r="AS29" i="19" s="1"/>
  <c r="AW28" i="19" s="1"/>
  <c r="AW22" i="19"/>
  <c r="AS34" i="19" s="1"/>
  <c r="AS36" i="19" s="1"/>
  <c r="AW35" i="19" s="1"/>
  <c r="AE41" i="19"/>
  <c r="AH48" i="19" s="1"/>
  <c r="AE34" i="19"/>
  <c r="AE48" i="19" s="1"/>
  <c r="AE27" i="19"/>
  <c r="AE7" i="19"/>
  <c r="AG7" i="19" s="1"/>
  <c r="Z51" i="19"/>
  <c r="AR51" i="19" s="1"/>
  <c r="BD37" i="19" s="1"/>
  <c r="AB48" i="19"/>
  <c r="Z7" i="19"/>
  <c r="AR7" i="19" s="1"/>
  <c r="BD14" i="19" s="1"/>
  <c r="AH7" i="19"/>
  <c r="AB7" i="19"/>
  <c r="W29" i="19"/>
  <c r="V29" i="19"/>
  <c r="W17" i="19" s="1"/>
  <c r="Z61" i="19"/>
  <c r="BB50" i="19"/>
  <c r="AY50" i="19"/>
  <c r="AV50" i="19"/>
  <c r="AB40" i="19"/>
  <c r="AA40" i="19"/>
  <c r="AB33" i="19"/>
  <c r="AA33" i="19"/>
  <c r="AB26" i="19"/>
  <c r="AA26" i="19"/>
  <c r="AC26" i="19" s="1"/>
  <c r="AB22" i="19"/>
  <c r="AA27" i="19" s="1"/>
  <c r="AE22" i="19"/>
  <c r="AA34" i="19" s="1"/>
  <c r="BB18" i="19"/>
  <c r="AY18" i="19"/>
  <c r="AV18" i="19"/>
  <c r="V14" i="19"/>
  <c r="V13" i="19"/>
  <c r="V12" i="19"/>
  <c r="V11" i="19"/>
  <c r="AN11" i="19" s="1"/>
  <c r="V10" i="19"/>
  <c r="V9" i="19"/>
  <c r="AN9" i="19" s="1"/>
  <c r="BB8" i="19"/>
  <c r="AY8" i="19"/>
  <c r="BI15" i="19" s="1"/>
  <c r="AV8" i="19"/>
  <c r="BF15" i="19" s="1"/>
  <c r="V8" i="19"/>
  <c r="V7" i="19"/>
  <c r="U7" i="19"/>
  <c r="V6" i="19"/>
  <c r="AN6" i="19" s="1"/>
  <c r="U6" i="19"/>
  <c r="V5" i="19"/>
  <c r="H61" i="19"/>
  <c r="R51" i="19"/>
  <c r="O51" i="19"/>
  <c r="L51" i="19"/>
  <c r="H51" i="19"/>
  <c r="R50" i="19"/>
  <c r="O50" i="19"/>
  <c r="L50" i="19"/>
  <c r="H50" i="19"/>
  <c r="Z50" i="19" s="1"/>
  <c r="AR50" i="19" s="1"/>
  <c r="BD36" i="19" s="1"/>
  <c r="O42" i="19"/>
  <c r="N42" i="19"/>
  <c r="M42" i="19"/>
  <c r="J40" i="19"/>
  <c r="I40" i="19"/>
  <c r="K40" i="19" s="1"/>
  <c r="H38" i="19"/>
  <c r="Z38" i="19" s="1"/>
  <c r="AR38" i="19" s="1"/>
  <c r="O35" i="19"/>
  <c r="M35" i="19"/>
  <c r="N35" i="19" s="1"/>
  <c r="J33" i="19"/>
  <c r="I33" i="19"/>
  <c r="H31" i="19"/>
  <c r="Z31" i="19" s="1"/>
  <c r="AR31" i="19" s="1"/>
  <c r="O28" i="19"/>
  <c r="M28" i="19"/>
  <c r="N28" i="19" s="1"/>
  <c r="J26" i="19"/>
  <c r="K26" i="19"/>
  <c r="H24" i="19"/>
  <c r="Z24" i="19" s="1"/>
  <c r="AR24" i="19" s="1"/>
  <c r="P22" i="19"/>
  <c r="I41" i="19" s="1"/>
  <c r="R19" i="19"/>
  <c r="O19" i="19"/>
  <c r="L19" i="19"/>
  <c r="H19" i="19"/>
  <c r="Z19" i="19" s="1"/>
  <c r="AR19" i="19" s="1"/>
  <c r="BD26" i="19" s="1"/>
  <c r="R18" i="19"/>
  <c r="O18" i="19"/>
  <c r="L18" i="19"/>
  <c r="H18" i="19"/>
  <c r="Z18" i="19" s="1"/>
  <c r="AR18" i="19" s="1"/>
  <c r="BD25" i="19" s="1"/>
  <c r="P14" i="19"/>
  <c r="M14" i="19"/>
  <c r="J14" i="19"/>
  <c r="D14" i="19"/>
  <c r="E14" i="19" s="1"/>
  <c r="D13" i="19"/>
  <c r="E13" i="19" s="1"/>
  <c r="D12" i="19"/>
  <c r="F12" i="19" s="1"/>
  <c r="D11" i="19"/>
  <c r="F11" i="19" s="1"/>
  <c r="D10" i="19"/>
  <c r="F10" i="19" s="1"/>
  <c r="R9" i="19"/>
  <c r="BM16" i="19" s="1"/>
  <c r="BN16" i="19" s="1"/>
  <c r="O9" i="19"/>
  <c r="BJ16" i="19" s="1"/>
  <c r="BK16" i="19" s="1"/>
  <c r="L9" i="19"/>
  <c r="H9" i="19"/>
  <c r="Z9" i="19" s="1"/>
  <c r="AR9" i="19" s="1"/>
  <c r="BD16" i="19" s="1"/>
  <c r="D9" i="19"/>
  <c r="E9" i="19" s="1"/>
  <c r="R8" i="19"/>
  <c r="BM15" i="19" s="1"/>
  <c r="O8" i="19"/>
  <c r="BJ15" i="19" s="1"/>
  <c r="L8" i="19"/>
  <c r="BG15" i="19" s="1"/>
  <c r="H8" i="19"/>
  <c r="Z8" i="19" s="1"/>
  <c r="AR8" i="19" s="1"/>
  <c r="BD15" i="19" s="1"/>
  <c r="D8" i="19"/>
  <c r="F8" i="19" s="1"/>
  <c r="R7" i="19"/>
  <c r="BM14" i="19" s="1"/>
  <c r="P11" i="19"/>
  <c r="P16" i="19" s="1"/>
  <c r="O7" i="19"/>
  <c r="M11" i="19"/>
  <c r="M16" i="19" s="1"/>
  <c r="L7" i="19"/>
  <c r="D7" i="19"/>
  <c r="E7" i="19" s="1"/>
  <c r="C7" i="19"/>
  <c r="D6" i="19"/>
  <c r="E6" i="19" s="1"/>
  <c r="C6" i="19"/>
  <c r="D5" i="19"/>
  <c r="E5" i="19" s="1"/>
  <c r="P4" i="19"/>
  <c r="AH4" i="19" s="1"/>
  <c r="AZ4" i="19" s="1"/>
  <c r="BL11" i="19" s="1"/>
  <c r="M4" i="19"/>
  <c r="AE4" i="19" s="1"/>
  <c r="AW4" i="19" s="1"/>
  <c r="BI11" i="19" s="1"/>
  <c r="J4" i="19"/>
  <c r="AB4" i="19" s="1"/>
  <c r="AT4" i="19" s="1"/>
  <c r="BF11" i="19" s="1"/>
  <c r="D66" i="6"/>
  <c r="E60" i="6"/>
  <c r="C30" i="11"/>
  <c r="C31" i="11"/>
  <c r="Q13" i="11"/>
  <c r="BJ14" i="19" l="1"/>
  <c r="BL15" i="19"/>
  <c r="BN15" i="19" s="1"/>
  <c r="BB11" i="19"/>
  <c r="W14" i="19"/>
  <c r="AO14" i="19" s="1"/>
  <c r="AN14" i="19"/>
  <c r="O11" i="19"/>
  <c r="K33" i="19"/>
  <c r="X8" i="19"/>
  <c r="AP8" i="19" s="1"/>
  <c r="AN8" i="19"/>
  <c r="X11" i="19"/>
  <c r="AP11" i="19" s="1"/>
  <c r="AY35" i="19"/>
  <c r="AW36" i="19"/>
  <c r="M46" i="19"/>
  <c r="AE14" i="19"/>
  <c r="AW14" i="19" s="1"/>
  <c r="BI21" i="19" s="1"/>
  <c r="BI32" i="19" s="1"/>
  <c r="BI42" i="19" s="1"/>
  <c r="W6" i="19"/>
  <c r="AO6" i="19" s="1"/>
  <c r="W9" i="19"/>
  <c r="AO9" i="19" s="1"/>
  <c r="X12" i="19"/>
  <c r="AP12" i="19" s="1"/>
  <c r="AN12" i="19"/>
  <c r="AB53" i="19"/>
  <c r="AB58" i="19" s="1"/>
  <c r="AY28" i="19"/>
  <c r="AW29" i="19"/>
  <c r="W7" i="19"/>
  <c r="AO7" i="19" s="1"/>
  <c r="AN7" i="19"/>
  <c r="AH16" i="19"/>
  <c r="AJ7" i="19"/>
  <c r="BL14" i="19" s="1"/>
  <c r="AH53" i="19"/>
  <c r="AH58" i="19" s="1"/>
  <c r="J46" i="19"/>
  <c r="AB14" i="19"/>
  <c r="AT14" i="19" s="1"/>
  <c r="BF21" i="19" s="1"/>
  <c r="BF32" i="19" s="1"/>
  <c r="BF42" i="19" s="1"/>
  <c r="X14" i="19"/>
  <c r="AP14" i="19" s="1"/>
  <c r="P46" i="19"/>
  <c r="AH14" i="19"/>
  <c r="AZ14" i="19" s="1"/>
  <c r="BL21" i="19" s="1"/>
  <c r="BL32" i="19" s="1"/>
  <c r="BL42" i="19" s="1"/>
  <c r="W5" i="19"/>
  <c r="AO5" i="19" s="1"/>
  <c r="AN5" i="19"/>
  <c r="BK15" i="19"/>
  <c r="X10" i="19"/>
  <c r="AP10" i="19" s="1"/>
  <c r="AN10" i="19"/>
  <c r="W13" i="19"/>
  <c r="AO13" i="19" s="1"/>
  <c r="AN13" i="19"/>
  <c r="AB16" i="19"/>
  <c r="AD7" i="19"/>
  <c r="AD11" i="19" s="1"/>
  <c r="AE53" i="19"/>
  <c r="AE58" i="19" s="1"/>
  <c r="N11" i="19"/>
  <c r="N16" i="19" s="1"/>
  <c r="AE16" i="19"/>
  <c r="AG16" i="19"/>
  <c r="X15" i="19"/>
  <c r="AA29" i="19"/>
  <c r="AE28" i="19" s="1"/>
  <c r="AG28" i="19" s="1"/>
  <c r="AA36" i="19"/>
  <c r="AE35" i="19" s="1"/>
  <c r="AG35" i="19" s="1"/>
  <c r="AH22" i="19"/>
  <c r="AA41" i="19" s="1"/>
  <c r="AA43" i="19" s="1"/>
  <c r="AE42" i="19" s="1"/>
  <c r="AG42" i="19" s="1"/>
  <c r="AC40" i="19"/>
  <c r="AC33" i="19"/>
  <c r="E15" i="19"/>
  <c r="E18" i="19" s="1"/>
  <c r="K7" i="19"/>
  <c r="AC7" i="19" s="1"/>
  <c r="AU7" i="19" s="1"/>
  <c r="AV7" i="19" s="1"/>
  <c r="R11" i="19"/>
  <c r="R16" i="19" s="1"/>
  <c r="N7" i="19"/>
  <c r="I43" i="19"/>
  <c r="O16" i="19"/>
  <c r="M22" i="19"/>
  <c r="I34" i="19" s="1"/>
  <c r="I36" i="19" s="1"/>
  <c r="F14" i="19"/>
  <c r="F15" i="19" s="1"/>
  <c r="J22" i="19"/>
  <c r="M43" i="19"/>
  <c r="Q7" i="19"/>
  <c r="L11" i="19"/>
  <c r="M36" i="19"/>
  <c r="M29" i="19"/>
  <c r="Q9" i="11"/>
  <c r="Q12" i="11"/>
  <c r="R12" i="11" s="1"/>
  <c r="H20" i="11"/>
  <c r="C18" i="11"/>
  <c r="C21" i="11" s="1"/>
  <c r="D17" i="11"/>
  <c r="E17" i="11"/>
  <c r="F17" i="11"/>
  <c r="G17" i="11"/>
  <c r="H17" i="11"/>
  <c r="P4" i="11"/>
  <c r="C14" i="11"/>
  <c r="C3" i="11"/>
  <c r="D3" i="11"/>
  <c r="E14" i="11"/>
  <c r="E3" i="11"/>
  <c r="D14" i="11"/>
  <c r="M18" i="11"/>
  <c r="M17" i="11"/>
  <c r="M16" i="11"/>
  <c r="L30" i="11"/>
  <c r="L29" i="11"/>
  <c r="L28" i="11"/>
  <c r="L27" i="11"/>
  <c r="L26" i="11"/>
  <c r="L25" i="11"/>
  <c r="L24" i="11"/>
  <c r="L23" i="11"/>
  <c r="L22" i="11"/>
  <c r="L21" i="11"/>
  <c r="L20" i="11"/>
  <c r="L19" i="11"/>
  <c r="L18" i="11"/>
  <c r="L17" i="11"/>
  <c r="L16" i="11"/>
  <c r="N11" i="11"/>
  <c r="N12" i="11"/>
  <c r="N10" i="11"/>
  <c r="M6" i="11"/>
  <c r="M7" i="11" s="1"/>
  <c r="L6" i="11"/>
  <c r="L7" i="11" s="1"/>
  <c r="N7" i="11" s="1"/>
  <c r="K12" i="11"/>
  <c r="K11" i="11"/>
  <c r="K10" i="11"/>
  <c r="M5" i="11"/>
  <c r="L5" i="11"/>
  <c r="M3" i="11"/>
  <c r="L3" i="11"/>
  <c r="B18" i="1"/>
  <c r="AC16" i="19" l="1"/>
  <c r="AJ16" i="19"/>
  <c r="AV11" i="19"/>
  <c r="AB62" i="19"/>
  <c r="BN14" i="19"/>
  <c r="AH62" i="19"/>
  <c r="M56" i="19"/>
  <c r="AE46" i="19"/>
  <c r="BA11" i="19"/>
  <c r="BA16" i="19" s="1"/>
  <c r="BB16" i="19"/>
  <c r="I27" i="19"/>
  <c r="I29" i="19" s="1"/>
  <c r="Q21" i="19"/>
  <c r="BA21" i="19"/>
  <c r="BB21" i="19" s="1"/>
  <c r="AX21" i="19"/>
  <c r="AY21" i="19" s="1"/>
  <c r="AU21" i="19"/>
  <c r="AV21" i="19" s="1"/>
  <c r="W15" i="19"/>
  <c r="W18" i="19" s="1"/>
  <c r="AE62" i="19"/>
  <c r="AO15" i="19"/>
  <c r="AO18" i="19" s="1"/>
  <c r="P56" i="19"/>
  <c r="AH46" i="19"/>
  <c r="J56" i="19"/>
  <c r="AB46" i="19"/>
  <c r="AP15" i="19"/>
  <c r="AE43" i="19"/>
  <c r="AE36" i="19"/>
  <c r="AE29" i="19"/>
  <c r="AC21" i="19"/>
  <c r="AD21" i="19" s="1"/>
  <c r="AD22" i="19" s="1"/>
  <c r="AF21" i="19"/>
  <c r="AG21" i="19" s="1"/>
  <c r="AG22" i="19" s="1"/>
  <c r="BI29" i="19" s="1"/>
  <c r="BK29" i="19" s="1"/>
  <c r="AI21" i="19"/>
  <c r="AJ21" i="19" s="1"/>
  <c r="N21" i="19"/>
  <c r="K21" i="19"/>
  <c r="AF11" i="19"/>
  <c r="AF16" i="19" s="1"/>
  <c r="AI11" i="19"/>
  <c r="AI16" i="19" s="1"/>
  <c r="Q11" i="19"/>
  <c r="Q16" i="19" s="1"/>
  <c r="K11" i="19"/>
  <c r="K16" i="19" s="1"/>
  <c r="L16" i="19"/>
  <c r="P16" i="11"/>
  <c r="C26" i="11"/>
  <c r="N6" i="11"/>
  <c r="C15" i="11" s="1"/>
  <c r="C17" i="11" s="1"/>
  <c r="C22" i="11" s="1"/>
  <c r="C23" i="11" s="1"/>
  <c r="M32" i="11"/>
  <c r="G5" i="11" s="1"/>
  <c r="E6" i="11"/>
  <c r="E10" i="11" s="1"/>
  <c r="D6" i="11"/>
  <c r="D10" i="11" s="1"/>
  <c r="F6" i="11"/>
  <c r="F10" i="11" s="1"/>
  <c r="G6" i="11"/>
  <c r="G10" i="11" s="1"/>
  <c r="H6" i="11"/>
  <c r="H10" i="11" s="1"/>
  <c r="N5" i="11"/>
  <c r="L9" i="11" s="1"/>
  <c r="N13" i="11"/>
  <c r="D4" i="11" s="1"/>
  <c r="K2" i="5"/>
  <c r="B17" i="1"/>
  <c r="K3" i="15"/>
  <c r="J3" i="15"/>
  <c r="J9" i="15"/>
  <c r="F3" i="15"/>
  <c r="E3" i="15"/>
  <c r="D3" i="15"/>
  <c r="D6" i="6"/>
  <c r="D5" i="6"/>
  <c r="D10" i="6"/>
  <c r="D8" i="6"/>
  <c r="J39" i="16"/>
  <c r="J32" i="16"/>
  <c r="J25" i="16"/>
  <c r="H2" i="9"/>
  <c r="E12" i="9"/>
  <c r="G22" i="10"/>
  <c r="B20" i="3"/>
  <c r="D26" i="15"/>
  <c r="G43" i="14"/>
  <c r="B23" i="3"/>
  <c r="D25" i="15"/>
  <c r="D29" i="10"/>
  <c r="C35" i="10"/>
  <c r="C31" i="10"/>
  <c r="E26" i="9"/>
  <c r="C20" i="9"/>
  <c r="E20" i="9"/>
  <c r="E16" i="9"/>
  <c r="E8" i="9"/>
  <c r="E22" i="9"/>
  <c r="C22" i="9"/>
  <c r="I56" i="2"/>
  <c r="I66" i="2" s="1"/>
  <c r="H56" i="2"/>
  <c r="E30" i="14"/>
  <c r="D30" i="14" s="1"/>
  <c r="E29" i="14"/>
  <c r="D29" i="14" s="1"/>
  <c r="B30" i="14"/>
  <c r="B29" i="14"/>
  <c r="G4" i="5"/>
  <c r="G5" i="5"/>
  <c r="G3" i="5"/>
  <c r="E4" i="5"/>
  <c r="E5" i="5"/>
  <c r="E3" i="5"/>
  <c r="D24" i="6"/>
  <c r="G3" i="17"/>
  <c r="E66" i="2"/>
  <c r="D65" i="2"/>
  <c r="E56" i="2"/>
  <c r="D56" i="2"/>
  <c r="D52" i="2"/>
  <c r="E52" i="2"/>
  <c r="D25" i="2"/>
  <c r="E25" i="2"/>
  <c r="H62" i="2"/>
  <c r="D51" i="2"/>
  <c r="D50" i="2"/>
  <c r="C18" i="2"/>
  <c r="C11" i="2"/>
  <c r="C10" i="2" s="1"/>
  <c r="C6" i="2"/>
  <c r="C5" i="2" s="1"/>
  <c r="D3" i="6"/>
  <c r="C8" i="6" s="1"/>
  <c r="D27" i="6"/>
  <c r="B2" i="2"/>
  <c r="B23" i="2"/>
  <c r="G10" i="2"/>
  <c r="E5" i="2"/>
  <c r="D5" i="2"/>
  <c r="E10" i="2"/>
  <c r="D10" i="2"/>
  <c r="I25" i="2"/>
  <c r="D63" i="2"/>
  <c r="D64" i="2"/>
  <c r="D54" i="2"/>
  <c r="I52" i="2"/>
  <c r="H60" i="16"/>
  <c r="H8" i="16"/>
  <c r="H7" i="16"/>
  <c r="H18" i="16"/>
  <c r="H50" i="16"/>
  <c r="H49" i="16"/>
  <c r="O41" i="16"/>
  <c r="O34" i="16"/>
  <c r="M41" i="16"/>
  <c r="M27" i="16"/>
  <c r="M34" i="16"/>
  <c r="M40" i="16"/>
  <c r="P47" i="16" s="1"/>
  <c r="P52" i="16" s="1"/>
  <c r="P57" i="16" s="1"/>
  <c r="P61" i="16" s="1"/>
  <c r="M33" i="16"/>
  <c r="M47" i="16" s="1"/>
  <c r="M52" i="16" s="1"/>
  <c r="M57" i="16" s="1"/>
  <c r="M61" i="16" s="1"/>
  <c r="I39" i="16"/>
  <c r="K39" i="16" s="1"/>
  <c r="I32" i="16"/>
  <c r="H37" i="16"/>
  <c r="H30" i="16"/>
  <c r="M26" i="16"/>
  <c r="I25" i="16"/>
  <c r="H23" i="16"/>
  <c r="AW46" i="19" l="1"/>
  <c r="AW56" i="19" s="1"/>
  <c r="AE56" i="19"/>
  <c r="L21" i="19"/>
  <c r="AZ46" i="19"/>
  <c r="AZ56" i="19" s="1"/>
  <c r="AH56" i="19"/>
  <c r="BB22" i="19"/>
  <c r="AT46" i="19"/>
  <c r="AT56" i="19" s="1"/>
  <c r="AB56" i="19"/>
  <c r="AV16" i="19"/>
  <c r="AV22" i="19" s="1"/>
  <c r="AU11" i="19"/>
  <c r="AU16" i="19" s="1"/>
  <c r="L22" i="19"/>
  <c r="K22" i="19" s="1"/>
  <c r="J27" i="19" s="1"/>
  <c r="O21" i="19"/>
  <c r="R21" i="19"/>
  <c r="AC34" i="19"/>
  <c r="AC36" i="19" s="1"/>
  <c r="AF22" i="19"/>
  <c r="AB34" i="19" s="1"/>
  <c r="AJ22" i="19"/>
  <c r="AC27" i="19"/>
  <c r="AC29" i="19" s="1"/>
  <c r="AG27" i="19" s="1"/>
  <c r="AC22" i="19"/>
  <c r="AB27" i="19" s="1"/>
  <c r="D60" i="6"/>
  <c r="I29" i="14"/>
  <c r="N29" i="14" s="1"/>
  <c r="K29" i="14"/>
  <c r="H29" i="14"/>
  <c r="K25" i="16"/>
  <c r="K32" i="16"/>
  <c r="I30" i="14"/>
  <c r="D5" i="11"/>
  <c r="H5" i="11"/>
  <c r="E5" i="11"/>
  <c r="C6" i="6"/>
  <c r="F5" i="11"/>
  <c r="C7" i="6"/>
  <c r="C9" i="6"/>
  <c r="C5" i="6"/>
  <c r="C10" i="6"/>
  <c r="E4" i="11"/>
  <c r="F4" i="11"/>
  <c r="G4" i="11"/>
  <c r="G7" i="11" s="1"/>
  <c r="H4" i="11"/>
  <c r="M28" i="16"/>
  <c r="O27" i="16"/>
  <c r="M42" i="16"/>
  <c r="N41" i="16"/>
  <c r="J47" i="16"/>
  <c r="J52" i="16" s="1"/>
  <c r="J57" i="16" s="1"/>
  <c r="J61" i="16" s="1"/>
  <c r="N34" i="16"/>
  <c r="N27" i="16"/>
  <c r="M35" i="16"/>
  <c r="P20" i="16"/>
  <c r="P21" i="16" s="1"/>
  <c r="I40" i="16" s="1"/>
  <c r="I42" i="16" s="1"/>
  <c r="M20" i="16"/>
  <c r="M21" i="16" s="1"/>
  <c r="I33" i="16" s="1"/>
  <c r="I35" i="16" s="1"/>
  <c r="J20" i="16"/>
  <c r="J21" i="16" s="1"/>
  <c r="I26" i="16" s="1"/>
  <c r="I28" i="16" s="1"/>
  <c r="H17" i="16"/>
  <c r="P13" i="16"/>
  <c r="P45" i="16" s="1"/>
  <c r="P55" i="16" s="1"/>
  <c r="M13" i="16"/>
  <c r="M45" i="16" s="1"/>
  <c r="M55" i="16" s="1"/>
  <c r="J13" i="16"/>
  <c r="J45" i="16" s="1"/>
  <c r="J55" i="16" s="1"/>
  <c r="P6" i="16"/>
  <c r="P10" i="16" s="1"/>
  <c r="M6" i="16"/>
  <c r="M10" i="16" s="1"/>
  <c r="J6" i="16"/>
  <c r="J10" i="16" s="1"/>
  <c r="P3" i="16"/>
  <c r="M3" i="16"/>
  <c r="J3" i="16"/>
  <c r="E16" i="16"/>
  <c r="C6" i="16"/>
  <c r="C5" i="16"/>
  <c r="G26" i="15"/>
  <c r="D21" i="15"/>
  <c r="G21" i="15" s="1"/>
  <c r="F18" i="15"/>
  <c r="E18" i="15"/>
  <c r="D18" i="15"/>
  <c r="F17" i="15"/>
  <c r="E17" i="15"/>
  <c r="D17" i="15"/>
  <c r="F16" i="15"/>
  <c r="E16" i="15"/>
  <c r="D16" i="15"/>
  <c r="F15" i="15"/>
  <c r="E15" i="15"/>
  <c r="D15" i="15"/>
  <c r="F11" i="15"/>
  <c r="E11" i="15"/>
  <c r="D11" i="15"/>
  <c r="F10" i="15"/>
  <c r="E10" i="15"/>
  <c r="D10" i="15"/>
  <c r="F9" i="15"/>
  <c r="E9" i="15"/>
  <c r="D9" i="15"/>
  <c r="F8" i="15"/>
  <c r="E8" i="15"/>
  <c r="D8" i="15"/>
  <c r="F6" i="15"/>
  <c r="E6" i="15"/>
  <c r="D6" i="15"/>
  <c r="F5" i="15"/>
  <c r="E5" i="15"/>
  <c r="D5" i="15"/>
  <c r="F4" i="15"/>
  <c r="E4" i="15"/>
  <c r="D4" i="15"/>
  <c r="C2" i="15"/>
  <c r="E38" i="14"/>
  <c r="E37" i="14"/>
  <c r="E36" i="14"/>
  <c r="E34" i="14"/>
  <c r="D34" i="14" s="1"/>
  <c r="E42" i="14"/>
  <c r="D42" i="14" s="1"/>
  <c r="E39" i="14"/>
  <c r="E40" i="14"/>
  <c r="E33" i="14"/>
  <c r="I33" i="14" s="1"/>
  <c r="K33" i="14" s="1"/>
  <c r="D10" i="16" s="1"/>
  <c r="F10" i="16" s="1"/>
  <c r="E32" i="14"/>
  <c r="E6" i="14"/>
  <c r="E7" i="14"/>
  <c r="E8" i="14"/>
  <c r="E9" i="14"/>
  <c r="E10" i="14"/>
  <c r="E11" i="14"/>
  <c r="E12" i="14"/>
  <c r="E13" i="14"/>
  <c r="E14" i="14"/>
  <c r="E15" i="14"/>
  <c r="E16" i="14"/>
  <c r="E17" i="14"/>
  <c r="E18" i="14"/>
  <c r="E19" i="14"/>
  <c r="E20" i="14"/>
  <c r="E21" i="14"/>
  <c r="E22" i="14"/>
  <c r="E23" i="14"/>
  <c r="E24" i="14"/>
  <c r="E25" i="14"/>
  <c r="E26" i="14"/>
  <c r="E27" i="14"/>
  <c r="E28" i="14"/>
  <c r="E5" i="14"/>
  <c r="F9" i="12"/>
  <c r="D10" i="12"/>
  <c r="D55" i="2"/>
  <c r="C37" i="14"/>
  <c r="C36" i="14"/>
  <c r="C28" i="14"/>
  <c r="C27" i="14"/>
  <c r="E41" i="14"/>
  <c r="AI22" i="19" l="1"/>
  <c r="AB41" i="19" s="1"/>
  <c r="BL29" i="19"/>
  <c r="BN29" i="19" s="1"/>
  <c r="O22" i="19"/>
  <c r="K27" i="19"/>
  <c r="K29" i="19" s="1"/>
  <c r="AB36" i="19"/>
  <c r="AG34" i="19"/>
  <c r="AG48" i="19" s="1"/>
  <c r="BI34" i="19" s="1"/>
  <c r="BK34" i="19" s="1"/>
  <c r="R22" i="19"/>
  <c r="AU22" i="19"/>
  <c r="AT27" i="19" s="1"/>
  <c r="AU27" i="19"/>
  <c r="AU29" i="19" s="1"/>
  <c r="BA22" i="19"/>
  <c r="AT41" i="19" s="1"/>
  <c r="AU41" i="19"/>
  <c r="AU43" i="19" s="1"/>
  <c r="AC41" i="19"/>
  <c r="AC43" i="19" s="1"/>
  <c r="AB43" i="19" s="1"/>
  <c r="AB29" i="19"/>
  <c r="AF27" i="19"/>
  <c r="AC48" i="19" s="1"/>
  <c r="AD48" i="19"/>
  <c r="AG29" i="19"/>
  <c r="AF29" i="19" s="1"/>
  <c r="O27" i="19"/>
  <c r="J29" i="19"/>
  <c r="F7" i="11"/>
  <c r="D7" i="11"/>
  <c r="D8" i="11" s="1"/>
  <c r="D9" i="11" s="1"/>
  <c r="D11" i="11" s="1"/>
  <c r="D18" i="11" s="1"/>
  <c r="D21" i="11" s="1"/>
  <c r="D22" i="11" s="1"/>
  <c r="K30" i="14"/>
  <c r="D8" i="16" s="1"/>
  <c r="E8" i="16" s="1"/>
  <c r="H30" i="14"/>
  <c r="N30" i="14"/>
  <c r="D24" i="15"/>
  <c r="G24" i="15" s="1"/>
  <c r="D23" i="15"/>
  <c r="G23" i="15" s="1"/>
  <c r="D7" i="16"/>
  <c r="F7" i="16" s="1"/>
  <c r="G8" i="11"/>
  <c r="G9" i="11" s="1"/>
  <c r="G11" i="11" s="1"/>
  <c r="G18" i="11" s="1"/>
  <c r="G21" i="11" s="1"/>
  <c r="G22" i="11" s="1"/>
  <c r="G26" i="11" s="1"/>
  <c r="F8" i="11"/>
  <c r="F9" i="11" s="1"/>
  <c r="F11" i="11" s="1"/>
  <c r="F18" i="11" s="1"/>
  <c r="F21" i="11" s="1"/>
  <c r="F22" i="11" s="1"/>
  <c r="F26" i="11" s="1"/>
  <c r="H7" i="11"/>
  <c r="E7" i="11"/>
  <c r="G4" i="15"/>
  <c r="D7" i="15"/>
  <c r="D12" i="15" s="1"/>
  <c r="E7" i="15"/>
  <c r="E12" i="15" s="1"/>
  <c r="E29" i="15" s="1"/>
  <c r="D14" i="15"/>
  <c r="F14" i="15"/>
  <c r="E14" i="15"/>
  <c r="D38" i="14"/>
  <c r="F38" i="14" s="1"/>
  <c r="I38" i="14" s="1"/>
  <c r="H38" i="14" s="1"/>
  <c r="F7" i="15"/>
  <c r="F12" i="15" s="1"/>
  <c r="F29" i="15" s="1"/>
  <c r="D27" i="14"/>
  <c r="D36" i="14"/>
  <c r="F36" i="14" s="1"/>
  <c r="P15" i="16"/>
  <c r="M15" i="16"/>
  <c r="J15" i="16"/>
  <c r="F41" i="14"/>
  <c r="I41" i="14" s="1"/>
  <c r="H41" i="14" s="1"/>
  <c r="I42" i="14"/>
  <c r="I34" i="14"/>
  <c r="D41" i="14"/>
  <c r="F20" i="10"/>
  <c r="F22" i="10"/>
  <c r="B20" i="10"/>
  <c r="I43" i="14"/>
  <c r="K43" i="14" s="1"/>
  <c r="D13" i="16" s="1"/>
  <c r="F13" i="16" s="1"/>
  <c r="G35" i="14"/>
  <c r="G31" i="14" s="1"/>
  <c r="E35" i="14"/>
  <c r="E31" i="14" s="1"/>
  <c r="H33" i="14"/>
  <c r="D33" i="14"/>
  <c r="I32" i="14"/>
  <c r="K32" i="14" s="1"/>
  <c r="D9" i="16" s="1"/>
  <c r="F9" i="16" s="1"/>
  <c r="D32" i="14"/>
  <c r="M31" i="14"/>
  <c r="L31" i="14"/>
  <c r="J31" i="14"/>
  <c r="I28" i="14"/>
  <c r="N28" i="14" s="1"/>
  <c r="I27" i="14"/>
  <c r="I26" i="14"/>
  <c r="N26" i="14" s="1"/>
  <c r="D26" i="14"/>
  <c r="I25" i="14"/>
  <c r="L25" i="14" s="1"/>
  <c r="I24" i="14"/>
  <c r="L24" i="14" s="1"/>
  <c r="I23" i="14"/>
  <c r="D23" i="14"/>
  <c r="I22" i="14"/>
  <c r="J22" i="14" s="1"/>
  <c r="R7" i="16" s="1"/>
  <c r="I21" i="14"/>
  <c r="J21" i="14" s="1"/>
  <c r="O7" i="16" s="1"/>
  <c r="I20" i="14"/>
  <c r="J20" i="14" s="1"/>
  <c r="L7" i="16" s="1"/>
  <c r="D20" i="14"/>
  <c r="I19" i="14"/>
  <c r="J19" i="14" s="1"/>
  <c r="R18" i="16" s="1"/>
  <c r="I18" i="14"/>
  <c r="J18" i="14" s="1"/>
  <c r="O18" i="16" s="1"/>
  <c r="I17" i="14"/>
  <c r="D17" i="14"/>
  <c r="I16" i="14"/>
  <c r="J16" i="14" s="1"/>
  <c r="R50" i="16" s="1"/>
  <c r="I15" i="14"/>
  <c r="J15" i="14" s="1"/>
  <c r="O50" i="16" s="1"/>
  <c r="I14" i="14"/>
  <c r="J14" i="14" s="1"/>
  <c r="L50" i="16" s="1"/>
  <c r="D14" i="14"/>
  <c r="I13" i="14"/>
  <c r="J13" i="14" s="1"/>
  <c r="R49" i="16" s="1"/>
  <c r="I12" i="14"/>
  <c r="J12" i="14" s="1"/>
  <c r="O49" i="16" s="1"/>
  <c r="I11" i="14"/>
  <c r="D11" i="14"/>
  <c r="I10" i="14"/>
  <c r="J10" i="14" s="1"/>
  <c r="R17" i="16" s="1"/>
  <c r="I9" i="14"/>
  <c r="J9" i="14" s="1"/>
  <c r="O17" i="16" s="1"/>
  <c r="I8" i="14"/>
  <c r="J8" i="14" s="1"/>
  <c r="L17" i="16" s="1"/>
  <c r="D8" i="14"/>
  <c r="I7" i="14"/>
  <c r="J7" i="14" s="1"/>
  <c r="R6" i="16" s="1"/>
  <c r="I6" i="14"/>
  <c r="J6" i="14" s="1"/>
  <c r="O6" i="16" s="1"/>
  <c r="N6" i="16" s="1"/>
  <c r="I5" i="14"/>
  <c r="D5" i="14"/>
  <c r="G4" i="14"/>
  <c r="F4" i="14"/>
  <c r="E4" i="14"/>
  <c r="AG41" i="19" l="1"/>
  <c r="AF41" i="19" s="1"/>
  <c r="AI48" i="19" s="1"/>
  <c r="AY27" i="19"/>
  <c r="AT29" i="19"/>
  <c r="K34" i="19"/>
  <c r="K36" i="19" s="1"/>
  <c r="N22" i="19"/>
  <c r="J34" i="19" s="1"/>
  <c r="AY41" i="19"/>
  <c r="AT43" i="19"/>
  <c r="K41" i="19"/>
  <c r="K43" i="19" s="1"/>
  <c r="Q22" i="19"/>
  <c r="J41" i="19" s="1"/>
  <c r="AF34" i="19"/>
  <c r="AF48" i="19" s="1"/>
  <c r="AG36" i="19"/>
  <c r="AF36" i="19" s="1"/>
  <c r="AB61" i="19"/>
  <c r="AD53" i="19"/>
  <c r="AE61" i="19"/>
  <c r="AG53" i="19"/>
  <c r="BI39" i="19" s="1"/>
  <c r="BK39" i="19" s="1"/>
  <c r="N27" i="19"/>
  <c r="K48" i="19" s="1"/>
  <c r="L48" i="19"/>
  <c r="O29" i="19"/>
  <c r="N29" i="19" s="1"/>
  <c r="D23" i="11"/>
  <c r="D26" i="11"/>
  <c r="E8" i="11"/>
  <c r="E9" i="11" s="1"/>
  <c r="E11" i="11" s="1"/>
  <c r="E18" i="11" s="1"/>
  <c r="E21" i="11" s="1"/>
  <c r="E22" i="11" s="1"/>
  <c r="E26" i="11" s="1"/>
  <c r="H8" i="11"/>
  <c r="H9" i="11" s="1"/>
  <c r="H11" i="11" s="1"/>
  <c r="H18" i="11" s="1"/>
  <c r="H21" i="11" s="1"/>
  <c r="H22" i="11" s="1"/>
  <c r="H26" i="11" s="1"/>
  <c r="E13" i="16"/>
  <c r="D29" i="15"/>
  <c r="D13" i="15"/>
  <c r="E19" i="15"/>
  <c r="D19" i="15"/>
  <c r="E13" i="15"/>
  <c r="F13" i="15"/>
  <c r="F19" i="15"/>
  <c r="Q6" i="16"/>
  <c r="H23" i="14"/>
  <c r="N27" i="14"/>
  <c r="N4" i="14" s="1"/>
  <c r="H27" i="14"/>
  <c r="H34" i="14"/>
  <c r="N34" i="14"/>
  <c r="K34" i="14"/>
  <c r="D11" i="16" s="1"/>
  <c r="F11" i="16" s="1"/>
  <c r="F14" i="16" s="1"/>
  <c r="N42" i="14"/>
  <c r="K42" i="14"/>
  <c r="D12" i="16" s="1"/>
  <c r="E12" i="16" s="1"/>
  <c r="H42" i="14"/>
  <c r="D35" i="14"/>
  <c r="D31" i="14" s="1"/>
  <c r="H32" i="14"/>
  <c r="K26" i="14"/>
  <c r="D4" i="16" s="1"/>
  <c r="E4" i="16" s="1"/>
  <c r="N32" i="14"/>
  <c r="H17" i="14"/>
  <c r="M17" i="14"/>
  <c r="M18" i="14"/>
  <c r="D4" i="14"/>
  <c r="L7" i="14"/>
  <c r="M13" i="14"/>
  <c r="E44" i="14"/>
  <c r="L6" i="14"/>
  <c r="M12" i="14"/>
  <c r="M19" i="14"/>
  <c r="H26" i="14"/>
  <c r="H5" i="14"/>
  <c r="H11" i="14"/>
  <c r="L5" i="14"/>
  <c r="I36" i="14"/>
  <c r="H36" i="14" s="1"/>
  <c r="F35" i="14"/>
  <c r="F31" i="14" s="1"/>
  <c r="M8" i="14"/>
  <c r="M9" i="14"/>
  <c r="M10" i="14"/>
  <c r="M14" i="14"/>
  <c r="M15" i="14"/>
  <c r="M16" i="14"/>
  <c r="L20" i="14"/>
  <c r="L21" i="14"/>
  <c r="L22" i="14"/>
  <c r="K27" i="14"/>
  <c r="D5" i="16" s="1"/>
  <c r="E5" i="16" s="1"/>
  <c r="K28" i="14"/>
  <c r="D6" i="16" s="1"/>
  <c r="E6" i="16" s="1"/>
  <c r="N43" i="14"/>
  <c r="J5" i="14"/>
  <c r="L6" i="16" s="1"/>
  <c r="H8" i="14"/>
  <c r="J11" i="14"/>
  <c r="L49" i="16" s="1"/>
  <c r="H14" i="14"/>
  <c r="J17" i="14"/>
  <c r="L18" i="16" s="1"/>
  <c r="H20" i="14"/>
  <c r="J23" i="14"/>
  <c r="L8" i="16" s="1"/>
  <c r="J24" i="14"/>
  <c r="O8" i="16" s="1"/>
  <c r="O10" i="16" s="1"/>
  <c r="J25" i="14"/>
  <c r="R8" i="16" s="1"/>
  <c r="R10" i="16" s="1"/>
  <c r="H43" i="14"/>
  <c r="M11" i="14"/>
  <c r="L23" i="14"/>
  <c r="N33" i="14"/>
  <c r="I4" i="14"/>
  <c r="AG43" i="19" l="1"/>
  <c r="AF43" i="19" s="1"/>
  <c r="AJ48" i="19"/>
  <c r="O41" i="19"/>
  <c r="J43" i="19"/>
  <c r="J36" i="19"/>
  <c r="O34" i="19"/>
  <c r="AY43" i="19"/>
  <c r="AX43" i="19" s="1"/>
  <c r="AX41" i="19"/>
  <c r="BA48" i="19" s="1"/>
  <c r="BB48" i="19"/>
  <c r="AX27" i="19"/>
  <c r="AU48" i="19" s="1"/>
  <c r="AV48" i="19"/>
  <c r="AY29" i="19"/>
  <c r="AX29" i="19" s="1"/>
  <c r="AD58" i="19"/>
  <c r="AC53" i="19"/>
  <c r="AC58" i="19" s="1"/>
  <c r="AG58" i="19"/>
  <c r="AF53" i="19"/>
  <c r="AF58" i="19" s="1"/>
  <c r="J61" i="19"/>
  <c r="L53" i="19"/>
  <c r="E23" i="11"/>
  <c r="F23" i="11" s="1"/>
  <c r="G23" i="11" s="1"/>
  <c r="H23" i="11" s="1"/>
  <c r="C29" i="11"/>
  <c r="C28" i="11"/>
  <c r="E14" i="16"/>
  <c r="Q10" i="16"/>
  <c r="Q15" i="16" s="1"/>
  <c r="R15" i="16"/>
  <c r="O15" i="16"/>
  <c r="N10" i="16"/>
  <c r="N15" i="16" s="1"/>
  <c r="K6" i="16"/>
  <c r="L10" i="16"/>
  <c r="E17" i="16"/>
  <c r="Q20" i="16" s="1"/>
  <c r="R20" i="16" s="1"/>
  <c r="K31" i="14"/>
  <c r="D44" i="14"/>
  <c r="N31" i="14"/>
  <c r="N44" i="14" s="1"/>
  <c r="K4" i="14"/>
  <c r="H4" i="14"/>
  <c r="L4" i="14"/>
  <c r="L44" i="14" s="1"/>
  <c r="I35" i="14"/>
  <c r="H35" i="14"/>
  <c r="H31" i="14" s="1"/>
  <c r="J4" i="14"/>
  <c r="J44" i="14" s="1"/>
  <c r="M4" i="14"/>
  <c r="M44" i="14" s="1"/>
  <c r="X17" i="19" l="1"/>
  <c r="X18" i="19" s="1"/>
  <c r="BL34" i="19"/>
  <c r="BN34" i="19" s="1"/>
  <c r="AG62" i="19"/>
  <c r="BI44" i="19"/>
  <c r="BK44" i="19" s="1"/>
  <c r="AJ53" i="19"/>
  <c r="AH61" i="19"/>
  <c r="N34" i="19"/>
  <c r="N48" i="19" s="1"/>
  <c r="O48" i="19"/>
  <c r="O36" i="19"/>
  <c r="N36" i="19" s="1"/>
  <c r="AZ61" i="19"/>
  <c r="BB53" i="19"/>
  <c r="AT61" i="19"/>
  <c r="AV53" i="19"/>
  <c r="R48" i="19"/>
  <c r="O43" i="19"/>
  <c r="N43" i="19" s="1"/>
  <c r="N41" i="19"/>
  <c r="Q48" i="19" s="1"/>
  <c r="L58" i="19"/>
  <c r="K53" i="19"/>
  <c r="K58" i="19" s="1"/>
  <c r="K20" i="16"/>
  <c r="L20" i="16" s="1"/>
  <c r="R21" i="16"/>
  <c r="Q21" i="16" s="1"/>
  <c r="J40" i="16" s="1"/>
  <c r="N20" i="16"/>
  <c r="O20" i="16" s="1"/>
  <c r="O21" i="16" s="1"/>
  <c r="N21" i="16" s="1"/>
  <c r="J33" i="16" s="1"/>
  <c r="L15" i="16"/>
  <c r="K10" i="16"/>
  <c r="K15" i="16" s="1"/>
  <c r="K44" i="14"/>
  <c r="I31" i="14"/>
  <c r="I44" i="14" s="1"/>
  <c r="H44" i="14"/>
  <c r="AJ58" i="19" l="1"/>
  <c r="BL39" i="19"/>
  <c r="BN39" i="19" s="1"/>
  <c r="AF62" i="19"/>
  <c r="BI48" i="19"/>
  <c r="BK48" i="19" s="1"/>
  <c r="AI53" i="19"/>
  <c r="AI58" i="19" s="1"/>
  <c r="AU53" i="19"/>
  <c r="AU58" i="19" s="1"/>
  <c r="AV58" i="19"/>
  <c r="M61" i="19"/>
  <c r="O53" i="19"/>
  <c r="F17" i="19"/>
  <c r="F18" i="19" s="1"/>
  <c r="R53" i="19"/>
  <c r="P61" i="19"/>
  <c r="BB58" i="19"/>
  <c r="BB62" i="19" s="1"/>
  <c r="BA62" i="19" s="1"/>
  <c r="BA53" i="19"/>
  <c r="BA58" i="19" s="1"/>
  <c r="K33" i="16"/>
  <c r="K35" i="16" s="1"/>
  <c r="J35" i="16" s="1"/>
  <c r="L21" i="16"/>
  <c r="S21" i="16" s="1"/>
  <c r="K40" i="16"/>
  <c r="K42" i="16" s="1"/>
  <c r="O40" i="16" s="1"/>
  <c r="O42" i="16" s="1"/>
  <c r="N42" i="16" s="1"/>
  <c r="K45" i="14"/>
  <c r="N45" i="14"/>
  <c r="E5" i="6"/>
  <c r="M3" i="6"/>
  <c r="G3" i="6"/>
  <c r="H3" i="6"/>
  <c r="I3" i="6"/>
  <c r="J3" i="6"/>
  <c r="K3" i="6"/>
  <c r="L3" i="6"/>
  <c r="F3" i="6"/>
  <c r="F20" i="12"/>
  <c r="F19" i="12" s="1"/>
  <c r="D20" i="12"/>
  <c r="D19" i="12" s="1"/>
  <c r="F10" i="12"/>
  <c r="F8" i="12" s="1"/>
  <c r="D9" i="12"/>
  <c r="D8" i="12" s="1"/>
  <c r="F7" i="12"/>
  <c r="D5" i="12"/>
  <c r="D4" i="12" s="1"/>
  <c r="J10" i="12"/>
  <c r="F14" i="12"/>
  <c r="D14" i="12"/>
  <c r="B2" i="12"/>
  <c r="C36" i="10"/>
  <c r="B2" i="10"/>
  <c r="AJ62" i="19" l="1"/>
  <c r="BL44" i="19"/>
  <c r="BN44" i="19" s="1"/>
  <c r="R58" i="19"/>
  <c r="Q53" i="19"/>
  <c r="Q58" i="19" s="1"/>
  <c r="O58" i="19"/>
  <c r="N53" i="19"/>
  <c r="N58" i="19" s="1"/>
  <c r="AU61" i="19"/>
  <c r="AV61" i="19" s="1"/>
  <c r="AV62" i="19" s="1"/>
  <c r="AU62" i="19" s="1"/>
  <c r="AX61" i="19"/>
  <c r="BA61" i="19"/>
  <c r="BB61" i="19" s="1"/>
  <c r="AI61" i="19"/>
  <c r="AJ61" i="19" s="1"/>
  <c r="BL47" i="19" s="1"/>
  <c r="BN47" i="19" s="1"/>
  <c r="K61" i="19"/>
  <c r="N61" i="19"/>
  <c r="Q61" i="19"/>
  <c r="AF61" i="19"/>
  <c r="AG61" i="19" s="1"/>
  <c r="BI47" i="19" s="1"/>
  <c r="BK47" i="19" s="1"/>
  <c r="AC61" i="19"/>
  <c r="AD61" i="19" s="1"/>
  <c r="AD62" i="19" s="1"/>
  <c r="AC62" i="19" s="1"/>
  <c r="D61" i="6"/>
  <c r="O33" i="16"/>
  <c r="O35" i="16" s="1"/>
  <c r="N35" i="16" s="1"/>
  <c r="D55" i="6"/>
  <c r="D48" i="6"/>
  <c r="K26" i="16"/>
  <c r="K28" i="16" s="1"/>
  <c r="O26" i="16" s="1"/>
  <c r="K21" i="16"/>
  <c r="J26" i="16" s="1"/>
  <c r="R47" i="16"/>
  <c r="R52" i="16" s="1"/>
  <c r="Q52" i="16" s="1"/>
  <c r="Q57" i="16" s="1"/>
  <c r="N40" i="16"/>
  <c r="Q47" i="16" s="1"/>
  <c r="J42" i="16"/>
  <c r="D50" i="6"/>
  <c r="D44" i="6"/>
  <c r="J19" i="12"/>
  <c r="J9" i="12"/>
  <c r="D67" i="6" s="1"/>
  <c r="D21" i="12"/>
  <c r="D49" i="6" s="1"/>
  <c r="C15" i="9"/>
  <c r="G3" i="9"/>
  <c r="C9" i="9" s="1"/>
  <c r="B2" i="9"/>
  <c r="AI62" i="19" l="1"/>
  <c r="BL48" i="19"/>
  <c r="BN48" i="19" s="1"/>
  <c r="L61" i="19"/>
  <c r="R61" i="19"/>
  <c r="O62" i="19"/>
  <c r="N62" i="19" s="1"/>
  <c r="O61" i="19"/>
  <c r="N33" i="16"/>
  <c r="N47" i="16" s="1"/>
  <c r="O47" i="16"/>
  <c r="M60" i="16" s="1"/>
  <c r="O52" i="16"/>
  <c r="O57" i="16" s="1"/>
  <c r="O61" i="16" s="1"/>
  <c r="N61" i="16" s="1"/>
  <c r="E48" i="6"/>
  <c r="J28" i="16"/>
  <c r="P60" i="16"/>
  <c r="J8" i="12"/>
  <c r="D57" i="6"/>
  <c r="R57" i="16"/>
  <c r="R61" i="16" s="1"/>
  <c r="Q61" i="16" s="1"/>
  <c r="N26" i="16"/>
  <c r="K47" i="16" s="1"/>
  <c r="O28" i="16"/>
  <c r="N28" i="16" s="1"/>
  <c r="L47" i="16"/>
  <c r="L62" i="19" l="1"/>
  <c r="K62" i="19" s="1"/>
  <c r="R62" i="19"/>
  <c r="Q62" i="19" s="1"/>
  <c r="N52" i="16"/>
  <c r="N57" i="16" s="1"/>
  <c r="F16" i="16"/>
  <c r="F17" i="16" s="1"/>
  <c r="L52" i="16"/>
  <c r="J60" i="16"/>
  <c r="L57" i="16" l="1"/>
  <c r="L61" i="16" s="1"/>
  <c r="K61" i="16" s="1"/>
  <c r="K52" i="16"/>
  <c r="K57" i="16" s="1"/>
  <c r="K60" i="16"/>
  <c r="L60" i="16" s="1"/>
  <c r="N60" i="16"/>
  <c r="O60" i="16" s="1"/>
  <c r="Q60" i="16"/>
  <c r="R60" i="16" s="1"/>
  <c r="H59" i="2"/>
  <c r="D59" i="2"/>
  <c r="H57" i="2"/>
  <c r="D57" i="2"/>
  <c r="G61" i="2"/>
  <c r="G60" i="2"/>
  <c r="G59" i="2"/>
  <c r="G58" i="2"/>
  <c r="G57" i="2"/>
  <c r="C61" i="2"/>
  <c r="C60" i="2"/>
  <c r="C59" i="2"/>
  <c r="C58" i="2"/>
  <c r="C57" i="2"/>
  <c r="G5" i="2" l="1"/>
  <c r="D3" i="10"/>
  <c r="C3" i="10"/>
  <c r="C16" i="10"/>
  <c r="C28" i="9"/>
  <c r="H65" i="2"/>
  <c r="C34" i="10"/>
  <c r="E11" i="9"/>
  <c r="D13" i="6" s="1"/>
  <c r="D9" i="10"/>
  <c r="E28" i="9"/>
  <c r="F5" i="12" l="1"/>
  <c r="D51" i="6" s="1"/>
  <c r="E50" i="6" s="1"/>
  <c r="D65" i="6"/>
  <c r="G28" i="9"/>
  <c r="G22" i="9"/>
  <c r="B12" i="5"/>
  <c r="B13" i="5"/>
  <c r="B14" i="5"/>
  <c r="B15" i="5"/>
  <c r="B16" i="5"/>
  <c r="B11" i="5"/>
  <c r="F14" i="11"/>
  <c r="G14" i="11" s="1"/>
  <c r="H14" i="11" s="1"/>
  <c r="F3" i="11"/>
  <c r="G3" i="11" s="1"/>
  <c r="H3" i="11" s="1"/>
  <c r="B12" i="3"/>
  <c r="B13" i="3" s="1"/>
  <c r="B8" i="3"/>
  <c r="B6" i="3"/>
  <c r="B5" i="3"/>
  <c r="B4" i="3"/>
  <c r="B3" i="3"/>
  <c r="B19" i="3"/>
  <c r="H53" i="2"/>
  <c r="D53" i="2"/>
  <c r="D48" i="2"/>
  <c r="D22" i="15" s="1"/>
  <c r="D47" i="2"/>
  <c r="H29" i="2"/>
  <c r="H26" i="2"/>
  <c r="D29" i="2"/>
  <c r="G15" i="15" s="1"/>
  <c r="D32" i="2"/>
  <c r="G16" i="15" s="1"/>
  <c r="D35" i="2"/>
  <c r="G17" i="15" s="1"/>
  <c r="D38" i="2"/>
  <c r="G18" i="15" s="1"/>
  <c r="D41" i="2"/>
  <c r="G10" i="15" s="1"/>
  <c r="D44" i="2"/>
  <c r="D26" i="2"/>
  <c r="G9" i="5"/>
  <c r="E9" i="5"/>
  <c r="C9" i="5"/>
  <c r="B5" i="5"/>
  <c r="B4" i="5"/>
  <c r="B3" i="5"/>
  <c r="B17" i="4"/>
  <c r="B16" i="4"/>
  <c r="B15" i="4"/>
  <c r="B8" i="4"/>
  <c r="C49" i="2"/>
  <c r="C48" i="2"/>
  <c r="C46" i="2"/>
  <c r="C45" i="2"/>
  <c r="C44" i="2"/>
  <c r="C43" i="2"/>
  <c r="C42" i="2"/>
  <c r="C41" i="2"/>
  <c r="C40" i="2"/>
  <c r="C39" i="2"/>
  <c r="C38" i="2"/>
  <c r="C37" i="2"/>
  <c r="C36" i="2"/>
  <c r="C35" i="2"/>
  <c r="C34" i="2"/>
  <c r="C33" i="2"/>
  <c r="C32" i="2"/>
  <c r="G31" i="2"/>
  <c r="C31" i="2"/>
  <c r="G30" i="2"/>
  <c r="C30" i="2"/>
  <c r="G29" i="2"/>
  <c r="C29" i="2"/>
  <c r="G28" i="2"/>
  <c r="C28" i="2"/>
  <c r="G27" i="2"/>
  <c r="C27" i="2"/>
  <c r="G26" i="2"/>
  <c r="C26" i="2"/>
  <c r="B13" i="2"/>
  <c r="B12" i="2"/>
  <c r="B11" i="2"/>
  <c r="B7" i="2"/>
  <c r="B6" i="2"/>
  <c r="G19" i="2"/>
  <c r="G22" i="15" l="1"/>
  <c r="D20" i="15"/>
  <c r="E13" i="9"/>
  <c r="D15" i="6"/>
  <c r="H25" i="2"/>
  <c r="G6" i="15"/>
  <c r="K5" i="15" s="1"/>
  <c r="C4" i="9"/>
  <c r="G25" i="15"/>
  <c r="C33" i="10"/>
  <c r="D17" i="6"/>
  <c r="G8" i="15"/>
  <c r="E10" i="9"/>
  <c r="G9" i="15"/>
  <c r="C5" i="9"/>
  <c r="E4" i="9"/>
  <c r="E7" i="9" s="1"/>
  <c r="G11" i="15"/>
  <c r="D6" i="10"/>
  <c r="E15" i="9"/>
  <c r="C24" i="9"/>
  <c r="E24" i="9"/>
  <c r="G14" i="15"/>
  <c r="H52" i="2"/>
  <c r="D27" i="10"/>
  <c r="C38" i="14"/>
  <c r="C14" i="14"/>
  <c r="C11" i="14"/>
  <c r="C17" i="14"/>
  <c r="C5" i="14"/>
  <c r="C20" i="14"/>
  <c r="C8" i="14"/>
  <c r="C23" i="14"/>
  <c r="C22" i="14"/>
  <c r="C10" i="14"/>
  <c r="C19" i="14"/>
  <c r="C25" i="14"/>
  <c r="C13" i="14"/>
  <c r="C40" i="14"/>
  <c r="C16" i="14"/>
  <c r="C7" i="14"/>
  <c r="C18" i="14"/>
  <c r="C6" i="14"/>
  <c r="C21" i="14"/>
  <c r="C9" i="14"/>
  <c r="C24" i="14"/>
  <c r="C12" i="14"/>
  <c r="C39" i="14"/>
  <c r="C15" i="14"/>
  <c r="C17" i="10" l="1"/>
  <c r="D17" i="10"/>
  <c r="G20" i="15"/>
  <c r="J6" i="15" s="1"/>
  <c r="D27" i="15"/>
  <c r="G27" i="15" s="1"/>
  <c r="D28" i="6"/>
  <c r="E27" i="6" s="1"/>
  <c r="D42" i="6"/>
  <c r="D32" i="6"/>
  <c r="D38" i="6"/>
  <c r="D30" i="6"/>
  <c r="D36" i="6"/>
  <c r="D34" i="6"/>
  <c r="C7" i="9"/>
  <c r="G4" i="9" s="1"/>
  <c r="C8" i="9" s="1"/>
  <c r="C10" i="9" s="1"/>
  <c r="G8" i="9" s="1"/>
  <c r="D7" i="6" s="1"/>
  <c r="G7" i="15"/>
  <c r="D18" i="10" l="1"/>
  <c r="C18" i="10"/>
  <c r="K6" i="15"/>
  <c r="J8" i="15"/>
  <c r="J10" i="15" s="1"/>
  <c r="G12" i="15"/>
  <c r="G13" i="15" s="1"/>
  <c r="K7" i="15"/>
  <c r="K9" i="15" s="1"/>
  <c r="C11" i="9"/>
  <c r="C13" i="9" s="1"/>
  <c r="G11" i="9" s="1"/>
  <c r="D18" i="6"/>
  <c r="E17" i="6" s="1"/>
  <c r="D29" i="6"/>
  <c r="E29" i="6" s="1"/>
  <c r="D16" i="6"/>
  <c r="E15" i="6" s="1"/>
  <c r="D23" i="6"/>
  <c r="E23" i="6" s="1"/>
  <c r="D14" i="6"/>
  <c r="E13" i="6" s="1"/>
  <c r="E7" i="6"/>
  <c r="D20" i="6"/>
  <c r="D31" i="6" l="1"/>
  <c r="E31" i="6" s="1"/>
  <c r="D9" i="6"/>
  <c r="E9" i="6" s="1"/>
  <c r="G19" i="15"/>
  <c r="G29" i="15"/>
  <c r="G30" i="15" s="1"/>
  <c r="G32" i="15" s="1"/>
  <c r="G33" i="15" s="1"/>
  <c r="K8" i="15"/>
  <c r="K10" i="15" s="1"/>
  <c r="D21" i="10"/>
  <c r="D37" i="10" s="1"/>
  <c r="C21" i="10"/>
  <c r="C37" i="10" s="1"/>
  <c r="C14" i="9"/>
  <c r="C17" i="9" s="1"/>
  <c r="E14" i="9"/>
  <c r="E17" i="9" s="1"/>
  <c r="G31" i="15" l="1"/>
  <c r="D38" i="10"/>
  <c r="C38" i="10"/>
  <c r="E38" i="10"/>
  <c r="G14" i="9"/>
  <c r="D33" i="6" l="1"/>
  <c r="E33" i="6" s="1"/>
  <c r="D45" i="6"/>
  <c r="D41" i="6"/>
  <c r="E41" i="6" s="1"/>
  <c r="G21" i="10"/>
  <c r="H21" i="10"/>
  <c r="E18" i="9"/>
  <c r="E21" i="9" s="1"/>
  <c r="E44" i="6"/>
  <c r="C18" i="9"/>
  <c r="C21" i="9" s="1"/>
  <c r="E66" i="6"/>
  <c r="D69" i="6" s="1"/>
  <c r="G18" i="9" l="1"/>
  <c r="G23" i="10"/>
  <c r="D19" i="6" s="1"/>
  <c r="E19" i="6" s="1"/>
  <c r="C23" i="9"/>
  <c r="C27" i="9" s="1"/>
  <c r="D35" i="6"/>
  <c r="E35" i="6" s="1"/>
  <c r="E23" i="9"/>
  <c r="E27" i="9" s="1"/>
  <c r="G23" i="9" l="1"/>
  <c r="D64" i="6" l="1"/>
  <c r="E64" i="6" s="1"/>
  <c r="D68" i="6" s="1"/>
  <c r="E68" i="6" s="1"/>
  <c r="G27" i="9"/>
  <c r="D37" i="6"/>
  <c r="E37" i="6" s="1"/>
  <c r="AY11" i="19"/>
  <c r="AX11" i="19" l="1"/>
  <c r="AX16" i="19" s="1"/>
  <c r="AY16" i="19"/>
  <c r="AY22" i="19" s="1"/>
  <c r="AU34" i="19" l="1"/>
  <c r="AU36" i="19" s="1"/>
  <c r="AX22" i="19"/>
  <c r="AT34" i="19" s="1"/>
  <c r="AT36" i="19" l="1"/>
  <c r="AY34" i="19"/>
  <c r="AX34" i="19" s="1"/>
  <c r="AX48" i="19" l="1"/>
  <c r="AY48" i="19"/>
  <c r="AY36" i="19"/>
  <c r="AX36" i="19" s="1"/>
  <c r="AP17" i="19" l="1"/>
  <c r="AP18" i="19" s="1"/>
  <c r="AY53" i="19"/>
  <c r="AW61" i="19"/>
  <c r="AY61" i="19" s="1"/>
  <c r="AY58" i="19" l="1"/>
  <c r="AY62" i="19" s="1"/>
  <c r="AX62" i="19" s="1"/>
  <c r="AX53" i="19"/>
  <c r="AX58" i="19" s="1"/>
  <c r="E17" i="2" l="1"/>
  <c r="E19" i="2"/>
  <c r="F21" i="12"/>
  <c r="J4" i="12"/>
  <c r="J20" i="12"/>
  <c r="D54" i="6"/>
  <c r="E54" i="6"/>
  <c r="C19" i="2"/>
  <c r="C17" i="2"/>
  <c r="D56" i="6"/>
  <c r="E56" i="6"/>
  <c r="D17" i="2"/>
  <c r="D19" i="2"/>
  <c r="F6" i="12"/>
  <c r="F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BATISTA SOARES</author>
  </authors>
  <commentList>
    <comment ref="S21" authorId="0" shapeId="0" xr:uid="{DFB3959E-95F3-478F-9734-47DA14E5F730}">
      <text>
        <r>
          <rPr>
            <b/>
            <sz val="9"/>
            <color indexed="81"/>
            <rFont val="Tahoma"/>
            <family val="2"/>
          </rPr>
          <t>BATISTA SOARES:</t>
        </r>
        <r>
          <rPr>
            <sz val="9"/>
            <color indexed="81"/>
            <rFont val="Tahoma"/>
            <family val="2"/>
          </rPr>
          <t xml:space="preserve">
Cette valeur est nécessaire au calcul du ratio de délai de rotation des stocks de produits finis.</t>
        </r>
      </text>
    </comment>
    <comment ref="H23" authorId="0" shapeId="0" xr:uid="{B6E885E7-CD81-426F-9B68-3E9A5242FEFC}">
      <text>
        <r>
          <rPr>
            <b/>
            <sz val="9"/>
            <color indexed="81"/>
            <rFont val="Tahoma"/>
            <family val="2"/>
          </rPr>
          <t>BATISTA SOARES:</t>
        </r>
        <r>
          <rPr>
            <sz val="9"/>
            <color indexed="81"/>
            <rFont val="Tahoma"/>
            <family val="2"/>
          </rPr>
          <t xml:space="preserve">
Ici, la valorisation des stocks est particulière. Elle repose tout d'abord sur le calcul du coût de production fait sous hypothèse mais aussi sur la valorisation des stocks par le jeu qui est AUTOMATIQUEMENT réinscrite dans "Stock final". Ainsi, la valorisation des sorties se fait par déduction.</t>
        </r>
      </text>
    </comment>
    <comment ref="H30" authorId="0" shapeId="0" xr:uid="{7173D784-E731-4527-9EB9-172ED733D851}">
      <text>
        <r>
          <rPr>
            <b/>
            <sz val="9"/>
            <color indexed="81"/>
            <rFont val="Tahoma"/>
            <family val="2"/>
          </rPr>
          <t>BATISTA SOARES:</t>
        </r>
        <r>
          <rPr>
            <sz val="9"/>
            <color indexed="81"/>
            <rFont val="Tahoma"/>
            <family val="2"/>
          </rPr>
          <t xml:space="preserve">
Ici, la valorisation des stocks est particulière. Elle repose tout d'abord sur le calcul du coût de production fait sous hypothèse mais aussi sur la valorisation des stocks par le jeu qui est AUTOMATIQUEMENT réinscrite dans "Stock final". Ainsi, la valorisation des sorties se fait par déduction.</t>
        </r>
      </text>
    </comment>
    <comment ref="H37" authorId="0" shapeId="0" xr:uid="{D2F12490-3BC6-40F6-A6FC-D7CCAA57A78F}">
      <text>
        <r>
          <rPr>
            <b/>
            <sz val="9"/>
            <color indexed="81"/>
            <rFont val="Tahoma"/>
            <family val="2"/>
          </rPr>
          <t>BATISTA SOARES:</t>
        </r>
        <r>
          <rPr>
            <sz val="9"/>
            <color indexed="81"/>
            <rFont val="Tahoma"/>
            <family val="2"/>
          </rPr>
          <t xml:space="preserve">
Ici, la valorisation des stocks est particulière. Elle repose tout d'abord sur le calcul du coût de production fait sous hypothèse mais aussi sur la valorisation des stocks par le jeu qui est AUTOMATIQUEMENT réinscrite dans "Stock final". Ainsi, la valorisation des sorties se fait par déduction.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BATISTA SOARES</author>
  </authors>
  <commentList>
    <comment ref="P16" authorId="0" shapeId="0" xr:uid="{052C8E25-26D0-41BE-974A-102189B6B288}">
      <text>
        <r>
          <rPr>
            <b/>
            <sz val="9"/>
            <color indexed="81"/>
            <rFont val="Tahoma"/>
            <family val="2"/>
          </rPr>
          <t>BATISTA SOARES:</t>
        </r>
        <r>
          <rPr>
            <sz val="9"/>
            <color indexed="81"/>
            <rFont val="Tahoma"/>
            <family val="2"/>
          </rPr>
          <t xml:space="preserve">
La rémunération attendue des actionnaires (</t>
        </r>
        <r>
          <rPr>
            <u/>
            <sz val="9"/>
            <color indexed="81"/>
            <rFont val="Tahoma"/>
            <family val="2"/>
          </rPr>
          <t>50% du résultat net</t>
        </r>
        <r>
          <rPr>
            <sz val="9"/>
            <color indexed="81"/>
            <rFont val="Tahoma"/>
            <family val="2"/>
          </rPr>
          <t>) ainsi que le taux d'intérêt des emprunts sont des paramètres du jeu. J'ai donc calculé le coût moyen pondéré du capital CMPC afin d'avoir une valeur cohérente du taux d'actualisation.</t>
        </r>
      </text>
    </comment>
  </commentList>
</comments>
</file>

<file path=xl/sharedStrings.xml><?xml version="1.0" encoding="utf-8"?>
<sst xmlns="http://schemas.openxmlformats.org/spreadsheetml/2006/main" count="1099" uniqueCount="430">
  <si>
    <t>Année en cours</t>
  </si>
  <si>
    <t>Scooter G1</t>
  </si>
  <si>
    <t>Bien 2</t>
  </si>
  <si>
    <t>Scooter G2</t>
  </si>
  <si>
    <t>Bien 3</t>
  </si>
  <si>
    <t>Scooter G3</t>
  </si>
  <si>
    <t>Machine 1</t>
  </si>
  <si>
    <t>Classique</t>
  </si>
  <si>
    <t>Machine 2</t>
  </si>
  <si>
    <t>Moderne</t>
  </si>
  <si>
    <t>Légende</t>
  </si>
  <si>
    <t>Données déterminées par le jeu</t>
  </si>
  <si>
    <t>Cellules non nécessaires</t>
  </si>
  <si>
    <t>Actif</t>
  </si>
  <si>
    <t>Passif</t>
  </si>
  <si>
    <t>Brut</t>
  </si>
  <si>
    <t>Amortissements et dépréciations</t>
  </si>
  <si>
    <t>Net</t>
  </si>
  <si>
    <t>Immobilisations</t>
  </si>
  <si>
    <t>Capitaux propres</t>
  </si>
  <si>
    <t>Capital</t>
  </si>
  <si>
    <t>Réserves</t>
  </si>
  <si>
    <t>Résultat après IS</t>
  </si>
  <si>
    <t>Stocks</t>
  </si>
  <si>
    <t>Dettes</t>
  </si>
  <si>
    <t>Emprunts</t>
  </si>
  <si>
    <t>Dettes fiscales</t>
  </si>
  <si>
    <t>Intérêts sur emprunts à payer</t>
  </si>
  <si>
    <t>Disponibilités</t>
  </si>
  <si>
    <t>Intérêts sur découvert à payer</t>
  </si>
  <si>
    <t>Banque</t>
  </si>
  <si>
    <t>Total</t>
  </si>
  <si>
    <t>Charges</t>
  </si>
  <si>
    <t>Produits</t>
  </si>
  <si>
    <t>Charges d’exploitation</t>
  </si>
  <si>
    <t>Produits d’exploitation</t>
  </si>
  <si>
    <t>Achats de matières</t>
  </si>
  <si>
    <t>Ventes</t>
  </si>
  <si>
    <t>Frais fixes de production</t>
  </si>
  <si>
    <t>Production stockée</t>
  </si>
  <si>
    <t>Frais fixes d’administration et distribution</t>
  </si>
  <si>
    <t>Budget communication</t>
  </si>
  <si>
    <t>Budget qualité</t>
  </si>
  <si>
    <t>Coût de stockage</t>
  </si>
  <si>
    <t>Dépréciation des stocks</t>
  </si>
  <si>
    <t>Charges salariales</t>
  </si>
  <si>
    <t>Amortissements</t>
  </si>
  <si>
    <t>Charges financières</t>
  </si>
  <si>
    <t>Produits financiers</t>
  </si>
  <si>
    <t>Intérêts sur découverts</t>
  </si>
  <si>
    <t>Produits de placement</t>
  </si>
  <si>
    <t>Intérêts sur emprunts</t>
  </si>
  <si>
    <t>Charges exceptionnelles</t>
  </si>
  <si>
    <t>Produits exceptionnels</t>
  </si>
  <si>
    <t>Résultat net après IS (bénéfice)</t>
  </si>
  <si>
    <t>Résultat net après IS (perte)</t>
  </si>
  <si>
    <t>Trésorerie</t>
  </si>
  <si>
    <t>Découvert moyen</t>
  </si>
  <si>
    <t>Tableau des emprunts en cours</t>
  </si>
  <si>
    <t>Années</t>
  </si>
  <si>
    <t>Montant emprunté au 01/01</t>
  </si>
  <si>
    <t>Montant total restant dû au 01/01</t>
  </si>
  <si>
    <t>Montant à rembourser au 31/12</t>
  </si>
  <si>
    <t>Capital restant dû au 31/12</t>
  </si>
  <si>
    <t>Intérêts sur emprunts à payer au 31/12</t>
  </si>
  <si>
    <t>…</t>
  </si>
  <si>
    <t>N</t>
  </si>
  <si>
    <t>N+Y</t>
  </si>
  <si>
    <t>Votre banque accepte de vous prêter (emprunt ou découvert) jusqu’à :</t>
  </si>
  <si>
    <t>Sans l’accord du banquier, l’investissement cumulé maximum est de :</t>
  </si>
  <si>
    <t>Recherche et développement</t>
  </si>
  <si>
    <t>Effort cumulé de R&amp;D :</t>
  </si>
  <si>
    <t>Budget annuel maximum en R&amp;D sans l’accord de l’animateur :</t>
  </si>
  <si>
    <t>Appareil productif</t>
  </si>
  <si>
    <t>Type de machine</t>
  </si>
  <si>
    <t>Age</t>
  </si>
  <si>
    <t>Rendement théorique</t>
  </si>
  <si>
    <t>Capacité de production</t>
  </si>
  <si>
    <t>Valeur nette comptable</t>
  </si>
  <si>
    <t>État des stocks</t>
  </si>
  <si>
    <t>Produit</t>
  </si>
  <si>
    <t>Stock au 01/01/N</t>
  </si>
  <si>
    <t>Quantité produite</t>
  </si>
  <si>
    <t>Stock au 31/12/N</t>
  </si>
  <si>
    <t>Prix de vente</t>
  </si>
  <si>
    <t>Prix moyen</t>
  </si>
  <si>
    <t>Budget publicitaire</t>
  </si>
  <si>
    <t>Budget publicitaire moyen</t>
  </si>
  <si>
    <t>Budget qualité et services</t>
  </si>
  <si>
    <t>Indice qualité</t>
  </si>
  <si>
    <t>Indice qualité moyen</t>
  </si>
  <si>
    <t>Volume des ventes</t>
  </si>
  <si>
    <t>Concurrence</t>
  </si>
  <si>
    <t>Résultat annuel</t>
  </si>
  <si>
    <t>Prix</t>
  </si>
  <si>
    <t>Entreprise 1</t>
  </si>
  <si>
    <t>Entreprise 2</t>
  </si>
  <si>
    <t>Total / moyenne</t>
  </si>
  <si>
    <t>Moyenne résultat</t>
  </si>
  <si>
    <t>Ratios de performance</t>
  </si>
  <si>
    <t>Taux de croissance de la valeur ajoutée (VA)</t>
  </si>
  <si>
    <t>Part du facteur travail dans la VA</t>
  </si>
  <si>
    <t>Part des intérêts dans la VA</t>
  </si>
  <si>
    <t>Analyse du rendement du personnel</t>
  </si>
  <si>
    <t>Productivité du personnel</t>
  </si>
  <si>
    <t>Rentabilité</t>
  </si>
  <si>
    <t>Rentabilité financière</t>
  </si>
  <si>
    <t>Analyse de la profitabilité</t>
  </si>
  <si>
    <t>Taux de marge commerciale</t>
  </si>
  <si>
    <t>Taux de profitabilité financière</t>
  </si>
  <si>
    <t>Taux de profitabilité</t>
  </si>
  <si>
    <t>Capacité de remboursement</t>
  </si>
  <si>
    <t>Ratios de structure</t>
  </si>
  <si>
    <t>Ratio de financement des emplois stables</t>
  </si>
  <si>
    <t>Ratio de couverture des capitaux investis</t>
  </si>
  <si>
    <t>Ventes de marchandises</t>
  </si>
  <si>
    <t>Coût d'achat des marchandises vendues</t>
  </si>
  <si>
    <t>Marge commerciale</t>
  </si>
  <si>
    <t>Production vendue</t>
  </si>
  <si>
    <t>OU destockage de production</t>
  </si>
  <si>
    <t>Production de l'exercice</t>
  </si>
  <si>
    <t>Production immobilisée</t>
  </si>
  <si>
    <t>Valeur ajoutée</t>
  </si>
  <si>
    <t>Charges de personnel</t>
  </si>
  <si>
    <t>Résultat d'exploitation</t>
  </si>
  <si>
    <t>Reprise sur charges et transfert de charges</t>
  </si>
  <si>
    <t>Dotation aux amortissements et provisions</t>
  </si>
  <si>
    <t>Autres produits d'exploitation</t>
  </si>
  <si>
    <t>Autres charges d'exploitation</t>
  </si>
  <si>
    <t>Résultat Courant Avant Impôts (RCAI)</t>
  </si>
  <si>
    <t>Quotes-parts de résultat sur opérations faites en commun</t>
  </si>
  <si>
    <t>Résultat exceptionnel</t>
  </si>
  <si>
    <t>Participation des salariés</t>
  </si>
  <si>
    <t>Valeur nette comptable des éléments d'actif cédés</t>
  </si>
  <si>
    <t>-</t>
  </si>
  <si>
    <t>+</t>
  </si>
  <si>
    <t>Résultat net de l'exercice (bénéfice ou perte)</t>
  </si>
  <si>
    <t xml:space="preserve">     - charges d'exploitation</t>
  </si>
  <si>
    <t xml:space="preserve">     - charges financières</t>
  </si>
  <si>
    <t xml:space="preserve">     - charges exceptionnelles</t>
  </si>
  <si>
    <t>Produits calculés :</t>
  </si>
  <si>
    <t>Quote-part des subventions d'investissement virée au résultat de l'exercice</t>
  </si>
  <si>
    <t>Transferts de charges d'exploitation</t>
  </si>
  <si>
    <t>Quote-part sur opérations en commun</t>
  </si>
  <si>
    <t>Transferts de charges financières</t>
  </si>
  <si>
    <t>Impôts sur les bénéfices</t>
  </si>
  <si>
    <t>Cash-Flows d’exploitation lié à l’investissement</t>
  </si>
  <si>
    <t>Chiffre d’affaires supplémentaire</t>
  </si>
  <si>
    <t>Charges d’exploitation HT (hors amortissement) supplémentaires</t>
  </si>
  <si>
    <t>Dotation aux amortissements</t>
  </si>
  <si>
    <t>Résultat d’exploitation avant IS</t>
  </si>
  <si>
    <t>Montant de l’IS</t>
  </si>
  <si>
    <t>Résultat net d’exploitation</t>
  </si>
  <si>
    <t>Cash-Flow d’exploitation</t>
  </si>
  <si>
    <t>Investissement</t>
  </si>
  <si>
    <t>Variation du BFR</t>
  </si>
  <si>
    <t>Total Emplois</t>
  </si>
  <si>
    <t>Cash-flow d’exploitation</t>
  </si>
  <si>
    <t>Valeur résiduelle</t>
  </si>
  <si>
    <t>Récupération du BFR</t>
  </si>
  <si>
    <t>Total Ressources</t>
  </si>
  <si>
    <t>Emplois stables</t>
  </si>
  <si>
    <t>Ressources stables</t>
  </si>
  <si>
    <t>Cycle de financement (long)</t>
  </si>
  <si>
    <t>FRNG</t>
  </si>
  <si>
    <t>Immobilisations corporelles</t>
  </si>
  <si>
    <t>Immobilisations incorporelles</t>
  </si>
  <si>
    <t>Immobilisations financières</t>
  </si>
  <si>
    <t>Emprunts et dettes financières</t>
  </si>
  <si>
    <t>Cycle d'exploitation (court)</t>
  </si>
  <si>
    <t>BFR</t>
  </si>
  <si>
    <t>BFR_E</t>
  </si>
  <si>
    <t>Créances clients et rattachés</t>
  </si>
  <si>
    <t>Dettes fiscales et sociales</t>
  </si>
  <si>
    <t>BFR_HE</t>
  </si>
  <si>
    <t>Avances et acomptes versés</t>
  </si>
  <si>
    <t>Avances et acomptes reçus</t>
  </si>
  <si>
    <t>Cycle hors exploitation (court)</t>
  </si>
  <si>
    <t>Actif circulant hors exploitation</t>
  </si>
  <si>
    <t>Passif circulant hors exploitation</t>
  </si>
  <si>
    <t>Autres créances (hors exploitation)</t>
  </si>
  <si>
    <t>Autres dettes (hors exploitation)</t>
  </si>
  <si>
    <t>CCA (hors exploitation)</t>
  </si>
  <si>
    <t>VMP</t>
  </si>
  <si>
    <t>Dette d'IS</t>
  </si>
  <si>
    <t>Trésorerie (immédiat)</t>
  </si>
  <si>
    <t>Trésorerie active</t>
  </si>
  <si>
    <t>Trésorerie passive</t>
  </si>
  <si>
    <t>Trésorerie Nette</t>
  </si>
  <si>
    <t>Concours bancaires courants</t>
  </si>
  <si>
    <t>Vérif TN</t>
  </si>
  <si>
    <t>Entreprises concurrentes</t>
  </si>
  <si>
    <t>Entreprise 3</t>
  </si>
  <si>
    <t>E1</t>
  </si>
  <si>
    <t>E2</t>
  </si>
  <si>
    <t>E3</t>
  </si>
  <si>
    <t>E4</t>
  </si>
  <si>
    <t>E5</t>
  </si>
  <si>
    <t>E6</t>
  </si>
  <si>
    <t>Entreprise 4</t>
  </si>
  <si>
    <t>Entreprise 5</t>
  </si>
  <si>
    <t>Entreprise 6</t>
  </si>
  <si>
    <t>Consommations de l'exercice en provenance de tiers</t>
  </si>
  <si>
    <t>Impôts taxes et versements assimilés</t>
  </si>
  <si>
    <t xml:space="preserve">Excédent Brut d'Exploitation (EBE) ou Insuffisance Brute d'Exploitation (IBE) </t>
  </si>
  <si>
    <t>EBE</t>
  </si>
  <si>
    <t>Résultat exceptionnel (bénéfice)</t>
  </si>
  <si>
    <t>RCAI (bénéfice)</t>
  </si>
  <si>
    <t>RCAI (perte)</t>
  </si>
  <si>
    <t>Résultat exceptionnel (perte)</t>
  </si>
  <si>
    <t>Résultat net comptable</t>
  </si>
  <si>
    <t>Produits de cessions d'éléments d'actif cédés</t>
  </si>
  <si>
    <t>Pous ou moins value sur cession d'actifs</t>
  </si>
  <si>
    <t>Autres charges exceptionnelles</t>
  </si>
  <si>
    <t>Autres produits exceptionnels</t>
  </si>
  <si>
    <t>VNC des éléments d'actifs cédés</t>
  </si>
  <si>
    <t>Produits de cession des éléments d'actif cédés</t>
  </si>
  <si>
    <t>Subventions d'exploitation</t>
  </si>
  <si>
    <t>IBE</t>
  </si>
  <si>
    <t>Résultat d'exploitation (bénéfice)</t>
  </si>
  <si>
    <t>Résultat d'exploitation (perte)</t>
  </si>
  <si>
    <t>Chiffre d'affaires</t>
  </si>
  <si>
    <t>Charges variables</t>
  </si>
  <si>
    <t>Marge sur coût variable</t>
  </si>
  <si>
    <t>Coûts fixes directs</t>
  </si>
  <si>
    <t>Frais fixes d'administration et distribution</t>
  </si>
  <si>
    <t>Marge sur coût spécifique</t>
  </si>
  <si>
    <t>Résultat analytique</t>
  </si>
  <si>
    <t>Taux de marge sur coût variable</t>
  </si>
  <si>
    <t>Marge de sécurité globale</t>
  </si>
  <si>
    <t>Indice de sécurité global</t>
  </si>
  <si>
    <t>Global</t>
  </si>
  <si>
    <t>Quantités vendues</t>
  </si>
  <si>
    <t>Seuil de rentabilité (en €)</t>
  </si>
  <si>
    <t>Seuil de rentabilité en nombre de jours</t>
  </si>
  <si>
    <t>Charges calculées</t>
  </si>
  <si>
    <t>Dotations aux amortissements, dépcréciations et provisions :</t>
  </si>
  <si>
    <t>Valeurs nettes comptables des éléments d'actif cédés</t>
  </si>
  <si>
    <t>CAF</t>
  </si>
  <si>
    <t>Reprises sur amortissement, dépréciations et provisions :</t>
  </si>
  <si>
    <t xml:space="preserve">     - d'exploitation</t>
  </si>
  <si>
    <t xml:space="preserve">     - financières</t>
  </si>
  <si>
    <t xml:space="preserve">     - exceptionnelles</t>
  </si>
  <si>
    <t>EBE ou IBE</t>
  </si>
  <si>
    <t>Produits encaissables / encaissés</t>
  </si>
  <si>
    <t>Produits financiers encaissables / encaissés</t>
  </si>
  <si>
    <t>Transfert de charges exceptionnelles</t>
  </si>
  <si>
    <t>Charges décaissables / décaissées</t>
  </si>
  <si>
    <t>Charges financières décaissables / décaissées</t>
  </si>
  <si>
    <t>Autres charges d'exploitation décaissables / décaissées</t>
  </si>
  <si>
    <t>Charges exceptionnelles décaissables / décaissées</t>
  </si>
  <si>
    <t>Autres produits d'exploitation encaissables / encaissés</t>
  </si>
  <si>
    <t>Produits exceptionnels encaissables / encaissés</t>
  </si>
  <si>
    <t>AF</t>
  </si>
  <si>
    <t>Cycles</t>
  </si>
  <si>
    <t>Amortissements et provisions</t>
  </si>
  <si>
    <t>Cycle d'investissement (long)</t>
  </si>
  <si>
    <t>Actif circulant d'exploitation</t>
  </si>
  <si>
    <t>Passif circulant d'exploitation</t>
  </si>
  <si>
    <t>Autres créances (d'exploitation)</t>
  </si>
  <si>
    <t>CCA (d'exploitation)</t>
  </si>
  <si>
    <t>Dettes fournisseur</t>
  </si>
  <si>
    <t>Autres dettes (d'exploitation)</t>
  </si>
  <si>
    <t>PCA (d'exploitation)</t>
  </si>
  <si>
    <t>PCA (hors exploitation)</t>
  </si>
  <si>
    <t>Crédit d'IS</t>
  </si>
  <si>
    <t>Dettes fournisseurs d'immobilisations</t>
  </si>
  <si>
    <t>RCAI</t>
  </si>
  <si>
    <t>Années sur lesquelles se déroule la partie</t>
  </si>
  <si>
    <t>Bien 1</t>
  </si>
  <si>
    <t>Types de biens</t>
  </si>
  <si>
    <t>Types de machines</t>
  </si>
  <si>
    <t>L'analyse de l'évolution de l'activité</t>
  </si>
  <si>
    <t>Taux de croissance du chiffre d'affaires</t>
  </si>
  <si>
    <t>Taux de croissance de l'Excedent Brut d'Exploitation (EBE)</t>
  </si>
  <si>
    <t>L'analyse de la répartition de la valeur ajoutée</t>
  </si>
  <si>
    <t>Part de l'impôt dans la VA</t>
  </si>
  <si>
    <t>Part de l'autofinancement</t>
  </si>
  <si>
    <t>Ratios d'étude de la CAF</t>
  </si>
  <si>
    <t>Capacité d'autofinancement</t>
  </si>
  <si>
    <t>Ratios d'étude du bilan fonctionnel</t>
  </si>
  <si>
    <t>Ratios d'équilibre financier</t>
  </si>
  <si>
    <t>Ratio de rotation des stocks</t>
  </si>
  <si>
    <t>Impôts</t>
  </si>
  <si>
    <t>VA</t>
  </si>
  <si>
    <t>Taux d'intégration</t>
  </si>
  <si>
    <t>Taux de marge brute d'exploitation</t>
  </si>
  <si>
    <t>Taux de marge nette d'exploitation</t>
  </si>
  <si>
    <t>Taux de capacité d'autofinancement</t>
  </si>
  <si>
    <t>Ratio d'intensité capitalistique</t>
  </si>
  <si>
    <t>Ratio d'indépendance financière</t>
  </si>
  <si>
    <t>Nombre de salariés ETP</t>
  </si>
  <si>
    <t>Ratios d'étude de la rentabilité</t>
  </si>
  <si>
    <t>Rentabilité économique</t>
  </si>
  <si>
    <t>Effet de levier</t>
  </si>
  <si>
    <t>Capitaux investis</t>
  </si>
  <si>
    <t>- Rentabilité Economique</t>
  </si>
  <si>
    <t>Charges d'intérêts</t>
  </si>
  <si>
    <t>Autofinancement</t>
  </si>
  <si>
    <t>Dettes financières + CBC</t>
  </si>
  <si>
    <t>Actifs immobilisés (brut)</t>
  </si>
  <si>
    <t>Total actif (brut)</t>
  </si>
  <si>
    <t>Emplois stables + BFR_E</t>
  </si>
  <si>
    <t>Coût de production des PFs vendus (HT)</t>
  </si>
  <si>
    <t>Détermination des charges en comptabilité analytique</t>
  </si>
  <si>
    <t>Méthode des coûts complets</t>
  </si>
  <si>
    <t>Méthode des coûts partiels</t>
  </si>
  <si>
    <t>Charges de la comptabilité générale</t>
  </si>
  <si>
    <t>Charges soustraites</t>
  </si>
  <si>
    <t>Charges ajoutées</t>
  </si>
  <si>
    <t>Charges de la comptabilité analytique</t>
  </si>
  <si>
    <t>Charges directes</t>
  </si>
  <si>
    <t>Charges indirectes</t>
  </si>
  <si>
    <t>Charges fixes directes</t>
  </si>
  <si>
    <t>Charges fixes indirectes</t>
  </si>
  <si>
    <t>Dividendes versés</t>
  </si>
  <si>
    <t>Rémunération des capitaux propres (=dividendes)</t>
  </si>
  <si>
    <t>Dettes fournisseurs</t>
  </si>
  <si>
    <t>Vérification</t>
  </si>
  <si>
    <t>Rappel</t>
  </si>
  <si>
    <r>
      <rPr>
        <b/>
        <sz val="10"/>
        <rFont val="Liberation Sans"/>
      </rPr>
      <t>McV</t>
    </r>
    <r>
      <rPr>
        <b/>
        <sz val="10"/>
        <color rgb="FF00B050"/>
        <rFont val="Liberation Sans"/>
      </rPr>
      <t xml:space="preserve"> unitaire</t>
    </r>
    <r>
      <rPr>
        <b/>
        <sz val="10"/>
        <color rgb="FF000000"/>
        <rFont val="Liberation Sans"/>
      </rPr>
      <t xml:space="preserve"> /</t>
    </r>
    <r>
      <rPr>
        <b/>
        <sz val="10"/>
        <color rgb="FF0070C0"/>
        <rFont val="Liberation Sans"/>
      </rPr>
      <t xml:space="preserve"> moyenne</t>
    </r>
  </si>
  <si>
    <t>Impôts et versements assimilés</t>
  </si>
  <si>
    <t>Créances clients</t>
  </si>
  <si>
    <t>retraitée en charge de personnel</t>
  </si>
  <si>
    <t>Charges \ Centres d'analyse</t>
  </si>
  <si>
    <t>Production</t>
  </si>
  <si>
    <t>Administration</t>
  </si>
  <si>
    <t>Montants en comptabilité analytique</t>
  </si>
  <si>
    <t>Total après répartition primaire</t>
  </si>
  <si>
    <t>Nature de l'unité d'œuvre</t>
  </si>
  <si>
    <t>Nombre d'unité d'œuvre</t>
  </si>
  <si>
    <t>Coût de l'unité d'œuvre</t>
  </si>
  <si>
    <t>€ Coût de production des PF vendues</t>
  </si>
  <si>
    <t>1) Tableau de répartition des charges indirectes</t>
  </si>
  <si>
    <t>2) Coût d'approvisionnement</t>
  </si>
  <si>
    <t>Achat de matières</t>
  </si>
  <si>
    <t>Q</t>
  </si>
  <si>
    <t>prix / coût</t>
  </si>
  <si>
    <t>Montant</t>
  </si>
  <si>
    <t>3) Coût de production</t>
  </si>
  <si>
    <t>Libellé</t>
  </si>
  <si>
    <t>Quantité</t>
  </si>
  <si>
    <t>Stock initial</t>
  </si>
  <si>
    <t>Stock final</t>
  </si>
  <si>
    <t>Totaux</t>
  </si>
  <si>
    <t>Sorties (= Ventes)</t>
  </si>
  <si>
    <t>Entrées (= Production)</t>
  </si>
  <si>
    <t>Valeur unitaire</t>
  </si>
  <si>
    <t>4) Valorisation des stocks</t>
  </si>
  <si>
    <t>5) Coût de distribution</t>
  </si>
  <si>
    <t>Coût de production des produits finis vendus</t>
  </si>
  <si>
    <t>6) Coût de revient</t>
  </si>
  <si>
    <t>Coût de distribution</t>
  </si>
  <si>
    <t>Embauches</t>
  </si>
  <si>
    <t>Licenciements</t>
  </si>
  <si>
    <t>Salaire mensuel</t>
  </si>
  <si>
    <t>Salaire mensuel moyen du marché</t>
  </si>
  <si>
    <t>Salariés dans l'entreprise en fin d'année</t>
  </si>
  <si>
    <t>Nombre de salariés du secteur</t>
  </si>
  <si>
    <t>Budget R &amp; D</t>
  </si>
  <si>
    <t>Etudes (motivation d'achat &amp; prévision ventes)</t>
  </si>
  <si>
    <t>Remboursement études</t>
  </si>
  <si>
    <t>Salariés dans l'entreprise en début d'année</t>
  </si>
  <si>
    <t>Vérification du résultat net</t>
  </si>
  <si>
    <t>Valeur unitaire du stock</t>
  </si>
  <si>
    <r>
      <t xml:space="preserve">Stock moyen de PF (HT) * </t>
    </r>
    <r>
      <rPr>
        <b/>
        <sz val="10"/>
        <color rgb="FF000000"/>
        <rFont val="Liberation Sans"/>
      </rPr>
      <t>360j</t>
    </r>
  </si>
  <si>
    <t>Stocks &amp; Créances</t>
  </si>
  <si>
    <t>Données nécessaires à la détermination graphique du seuil de rentabilité</t>
  </si>
  <si>
    <t>Coûts fixes indirects</t>
  </si>
  <si>
    <t>Coûts fixes</t>
  </si>
  <si>
    <t>Coûts variables</t>
  </si>
  <si>
    <t>Total des coûts</t>
  </si>
  <si>
    <t>Axe abscisses</t>
  </si>
  <si>
    <t>Nombre de machines</t>
  </si>
  <si>
    <t>Capacités de production annuelle supplémentaire</t>
  </si>
  <si>
    <t>Coût d'acquisition</t>
  </si>
  <si>
    <t>Amortissement annuel</t>
  </si>
  <si>
    <t>Prix de vente prévisionnels</t>
  </si>
  <si>
    <t>CA prévisionnel</t>
  </si>
  <si>
    <t>Production supplémentaire envisagée / année</t>
  </si>
  <si>
    <t>Charges prévisionnelles prévisionnelles / années</t>
  </si>
  <si>
    <t>Taux d'IS</t>
  </si>
  <si>
    <t>Taux d'actualisation</t>
  </si>
  <si>
    <t>Financement de l'investissement</t>
  </si>
  <si>
    <t>Emprunt</t>
  </si>
  <si>
    <t>Rémunération attendue</t>
  </si>
  <si>
    <t>Actionnaires (50% du résultat net)</t>
  </si>
  <si>
    <t>Taux équivalent</t>
  </si>
  <si>
    <t>CBC</t>
  </si>
  <si>
    <t>Cash-Flow net actualisés</t>
  </si>
  <si>
    <t>Cash-Flow nets</t>
  </si>
  <si>
    <t>Cash-Flows nets lié à l’investissement</t>
  </si>
  <si>
    <t>VAN</t>
  </si>
  <si>
    <t>TRI</t>
  </si>
  <si>
    <t>Délai de récupération du capital</t>
  </si>
  <si>
    <t>Indice de profitabilité</t>
  </si>
  <si>
    <t>Cash-Flows nets cumulés</t>
  </si>
  <si>
    <t>Taux d'intérêts emprunts (net d'IS)</t>
  </si>
  <si>
    <t>Délai de rotation des stocks de produits finis</t>
  </si>
  <si>
    <t>Résultat d'exploitation (net d'IS)</t>
  </si>
  <si>
    <t>Quantités prévisionnelles</t>
  </si>
  <si>
    <t>Quantités constatées (rappel)</t>
  </si>
  <si>
    <t>Coût réel de la quantité réelle (CuPC_N+1 x QC_N+1)</t>
  </si>
  <si>
    <t>Ecart sur Coût d'approvisionnement</t>
  </si>
  <si>
    <t>Ecart sur Coût de production</t>
  </si>
  <si>
    <t>Ecart sur Coût de distribution</t>
  </si>
  <si>
    <t>Ecart sur Coût de revient</t>
  </si>
  <si>
    <t>+ Ecart sur volume d'activité</t>
  </si>
  <si>
    <t>Coût préétabli de la production réelle (CuPP_N-&gt;N+1 x QC_N+1)</t>
  </si>
  <si>
    <t>Ecart global</t>
  </si>
  <si>
    <t>Ecart total</t>
  </si>
  <si>
    <t>Ecart sur volume d'activité (a)</t>
  </si>
  <si>
    <t>Ecart global (b)</t>
  </si>
  <si>
    <t>Ecart total (a) + (b)</t>
  </si>
  <si>
    <t>Calcul de l'écart total sur les charges et sa décomposition (écart sur volume d'activité et écart global)</t>
  </si>
  <si>
    <t>Décomposition de l'écart global sur charges directes (écart sur coût et écart sur quantité)</t>
  </si>
  <si>
    <t>Coût réel de la consommation réelle (CouC_N+1 x CuC_N+1 x QC_N+1)</t>
  </si>
  <si>
    <t>Coût préétabli de la consommation prévue pour la production réelle (CouP_N-&gt;N+1 x CuP_N-&gt;N+1 x QC_N+1)</t>
  </si>
  <si>
    <t>Coût préétabli de la consommation réelle (CouC_N+1 x CuP_N-&gt;N+1 x QC_N+1)</t>
  </si>
  <si>
    <t>'Coût préétabli de la consommation prévue pour la production réelle (CouP_N-&gt;N+1 x CuP_N-&gt;N+1 x QC_N+1)</t>
  </si>
  <si>
    <t>'+ Ecart sur quantité</t>
  </si>
  <si>
    <t>'Coût préétabli de la consommation réelle (CouC_N+1 x CuP_N-&gt;N+1 x QC_N+1)</t>
  </si>
  <si>
    <t>Décomposition entre</t>
  </si>
  <si>
    <t>Ecart sur coût</t>
  </si>
  <si>
    <t>=</t>
  </si>
  <si>
    <t>'Coût préétabli de la production prévue (CuPP_N-&gt;N+1 x QP_N-&gt;N+1)</t>
  </si>
  <si>
    <t>'Coût préétabli de la production réelle (CuPP_N-&gt;N+1 x QC_N+1)</t>
  </si>
  <si>
    <t>Cela n'est pas nécessaire car dans le jeu, l'ensemble des coût variables sont donnés et connus à l'avance et il en va de même pour les coûts fixes. Nos charges directes et dépendentes des quantités sont connues.</t>
  </si>
  <si>
    <t>Budget communidation</t>
  </si>
  <si>
    <t>Impact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</si>
</sst>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 _€_-;\-* #,##0.00\ _€_-;_-* &quot;-&quot;??\ _€_-;_-@_-"/>
    <numFmt numFmtId="164" formatCode="_-* #,##0.000\ &quot;€&quot;_-;\-* #,##0.000\ &quot;€&quot;_-;_-* &quot;-&quot;??\ &quot;€&quot;_-;_-@_-"/>
  </numFmts>
  <fonts count="29">
    <font>
      <sz val="10"/>
      <color rgb="FF000000"/>
      <name val="Liberation Sans"/>
    </font>
    <font>
      <sz val="10"/>
      <color rgb="FF000000"/>
      <name val="Liberation Sans"/>
    </font>
    <font>
      <b/>
      <sz val="10"/>
      <color rgb="FF000000"/>
      <name val="Liberation Sans"/>
    </font>
    <font>
      <b/>
      <sz val="10"/>
      <color rgb="FFFFFFFF"/>
      <name val="Liberation Sans"/>
    </font>
    <font>
      <sz val="10"/>
      <color rgb="FFCC0000"/>
      <name val="Liberation Sans"/>
    </font>
    <font>
      <i/>
      <sz val="10"/>
      <color rgb="FF808080"/>
      <name val="Liberation Sans"/>
    </font>
    <font>
      <sz val="10"/>
      <color rgb="FF006600"/>
      <name val="Liberation Sans"/>
    </font>
    <font>
      <b/>
      <sz val="24"/>
      <color rgb="FF000000"/>
      <name val="Liberation Sans"/>
    </font>
    <font>
      <b/>
      <sz val="18"/>
      <color rgb="FF000000"/>
      <name val="Liberation Sans"/>
    </font>
    <font>
      <b/>
      <sz val="12"/>
      <color rgb="FF000000"/>
      <name val="Liberation Sans"/>
    </font>
    <font>
      <u/>
      <sz val="10"/>
      <color rgb="FF0000EE"/>
      <name val="Liberation Sans"/>
    </font>
    <font>
      <sz val="10"/>
      <color rgb="FF996600"/>
      <name val="Liberation Sans"/>
    </font>
    <font>
      <sz val="11"/>
      <color rgb="FF000000"/>
      <name val="Calibri"/>
      <family val="2"/>
    </font>
    <font>
      <sz val="10"/>
      <color rgb="FF333333"/>
      <name val="Liberation Sans"/>
    </font>
    <font>
      <b/>
      <i/>
      <u/>
      <sz val="10"/>
      <color rgb="FF000000"/>
      <name val="Liberation Sans"/>
    </font>
    <font>
      <b/>
      <sz val="10"/>
      <color rgb="FFC9211E"/>
      <name val="Liberation Sans"/>
    </font>
    <font>
      <b/>
      <sz val="10"/>
      <color rgb="FFC00000"/>
      <name val="Liberation Sans"/>
    </font>
    <font>
      <b/>
      <sz val="10"/>
      <color theme="0"/>
      <name val="Liberation Sans"/>
    </font>
    <font>
      <b/>
      <sz val="10"/>
      <color rgb="FF00B050"/>
      <name val="Liberation Sans"/>
    </font>
    <font>
      <b/>
      <sz val="10"/>
      <name val="Liberation Sans"/>
    </font>
    <font>
      <b/>
      <sz val="10"/>
      <color rgb="FF0070C0"/>
      <name val="Liberation Sans"/>
    </font>
    <font>
      <sz val="9"/>
      <color indexed="81"/>
      <name val="Tahoma"/>
      <family val="2"/>
    </font>
    <font>
      <b/>
      <sz val="9"/>
      <color indexed="81"/>
      <name val="Tahoma"/>
      <family val="2"/>
    </font>
    <font>
      <sz val="10"/>
      <name val="Liberation Sans"/>
    </font>
    <font>
      <u/>
      <sz val="9"/>
      <color indexed="81"/>
      <name val="Tahoma"/>
      <family val="2"/>
    </font>
    <font>
      <b/>
      <sz val="10"/>
      <color rgb="FFFF0000"/>
      <name val="Liberation Sans"/>
    </font>
    <font>
      <b/>
      <sz val="10"/>
      <color theme="5" tint="-0.249977111117893"/>
      <name val="Liberation Sans"/>
    </font>
    <font>
      <b/>
      <sz val="10"/>
      <color theme="9" tint="-0.249977111117893"/>
      <name val="Liberation Sans"/>
    </font>
    <font>
      <sz val="14"/>
      <color rgb="FF000000"/>
      <name val="Liberation Sans"/>
    </font>
  </fonts>
  <fills count="36">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E994"/>
        <bgColor rgb="FFFFE994"/>
      </patternFill>
    </fill>
    <fill>
      <patternFill patternType="solid">
        <fgColor rgb="FFDEE6EF"/>
        <bgColor rgb="FFDEE6EF"/>
      </patternFill>
    </fill>
    <fill>
      <patternFill patternType="solid">
        <fgColor rgb="FFF4B084"/>
        <bgColor rgb="FFF4B084"/>
      </patternFill>
    </fill>
    <fill>
      <patternFill patternType="solid">
        <fgColor rgb="FFF6F9D4"/>
        <bgColor rgb="FFF6F9D4"/>
      </patternFill>
    </fill>
    <fill>
      <patternFill patternType="solid">
        <fgColor rgb="FFE0C2CD"/>
        <bgColor rgb="FFE0C2CD"/>
      </patternFill>
    </fill>
    <fill>
      <patternFill patternType="solid">
        <fgColor rgb="FFB2B2B2"/>
        <bgColor rgb="FFB2B2B2"/>
      </patternFill>
    </fill>
    <fill>
      <patternFill patternType="solid">
        <fgColor rgb="FFFFFF00"/>
        <bgColor rgb="FFFFFF00"/>
      </patternFill>
    </fill>
    <fill>
      <patternFill patternType="solid">
        <fgColor rgb="FFF10D0C"/>
        <bgColor rgb="FFF10D0C"/>
      </patternFill>
    </fill>
    <fill>
      <patternFill patternType="solid">
        <fgColor theme="9" tint="0.39997558519241921"/>
        <bgColor indexed="64"/>
      </patternFill>
    </fill>
    <fill>
      <patternFill patternType="solid">
        <fgColor theme="0" tint="-0.14996795556505021"/>
        <bgColor indexed="64"/>
      </patternFill>
    </fill>
    <fill>
      <patternFill patternType="solid">
        <fgColor rgb="FFFFFF00"/>
        <bgColor indexed="64"/>
      </patternFill>
    </fill>
    <fill>
      <patternFill patternType="solid">
        <fgColor theme="6" tint="0.3999450666829432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theme="5" tint="0.39994506668294322"/>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6" tint="0.39997558519241921"/>
        <bgColor rgb="FFFFFF00"/>
      </patternFill>
    </fill>
    <fill>
      <patternFill patternType="solid">
        <fgColor theme="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2"/>
        <bgColor indexed="64"/>
      </patternFill>
    </fill>
    <fill>
      <patternFill patternType="solid">
        <fgColor rgb="FFFF6699"/>
        <bgColor indexed="64"/>
      </patternFill>
    </fill>
    <fill>
      <patternFill patternType="solid">
        <fgColor rgb="FF00B050"/>
        <bgColor indexed="64"/>
      </patternFill>
    </fill>
    <fill>
      <patternFill patternType="solid">
        <fgColor theme="0" tint="-0.249977111117893"/>
        <bgColor indexed="64"/>
      </patternFill>
    </fill>
  </fills>
  <borders count="122">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double">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auto="1"/>
      </right>
      <top style="medium">
        <color auto="1"/>
      </top>
      <bottom style="thin">
        <color auto="1"/>
      </bottom>
      <diagonal/>
    </border>
    <border>
      <left style="thin">
        <color auto="1"/>
      </left>
      <right style="medium">
        <color rgb="FF000000"/>
      </right>
      <top style="medium">
        <color auto="1"/>
      </top>
      <bottom style="thin">
        <color auto="1"/>
      </bottom>
      <diagonal/>
    </border>
    <border>
      <left style="medium">
        <color rgb="FF000000"/>
      </left>
      <right style="thin">
        <color auto="1"/>
      </right>
      <top style="thin">
        <color auto="1"/>
      </top>
      <bottom style="thin">
        <color auto="1"/>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auto="1"/>
      </right>
      <top style="thin">
        <color indexed="64"/>
      </top>
      <bottom/>
      <diagonal/>
    </border>
    <border>
      <left/>
      <right style="thin">
        <color indexed="64"/>
      </right>
      <top/>
      <bottom style="thin">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bottom style="thin">
        <color rgb="FF000000"/>
      </bottom>
      <diagonal/>
    </border>
    <border>
      <left style="medium">
        <color indexed="64"/>
      </left>
      <right style="thin">
        <color indexed="64"/>
      </right>
      <top style="thin">
        <color rgb="FF000000"/>
      </top>
      <bottom style="thin">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indexed="64"/>
      </right>
      <top style="thin">
        <color auto="1"/>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rgb="FF000000"/>
      </right>
      <top style="double">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rgb="FF000000"/>
      </top>
      <bottom style="thin">
        <color rgb="FF000000"/>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style="thick">
        <color auto="1"/>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auto="1"/>
      </right>
      <top/>
      <bottom style="thick">
        <color auto="1"/>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23">
    <xf numFmtId="0" fontId="0" fillId="0" borderId="0"/>
    <xf numFmtId="0" fontId="13" fillId="8"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3" fillId="6" borderId="0" applyNumberFormat="0" applyBorder="0" applyProtection="0"/>
    <xf numFmtId="0" fontId="5" fillId="0" borderId="0" applyNumberFormat="0" applyBorder="0" applyProtection="0"/>
    <xf numFmtId="0" fontId="6" fillId="7" borderId="0" applyNumberFormat="0" applyBorder="0" applyProtection="0"/>
    <xf numFmtId="0" fontId="7" fillId="0"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8" borderId="0" applyNumberFormat="0" applyBorder="0" applyProtection="0"/>
    <xf numFmtId="0" fontId="12" fillId="0" borderId="0" applyNumberFormat="0" applyBorder="0" applyProtection="0"/>
    <xf numFmtId="0" fontId="1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613">
    <xf numFmtId="0" fontId="0" fillId="0" borderId="0" xfId="0"/>
    <xf numFmtId="0" fontId="0" fillId="0" borderId="2" xfId="0" applyBorder="1"/>
    <xf numFmtId="0" fontId="0" fillId="10" borderId="2" xfId="0" applyFill="1" applyBorder="1"/>
    <xf numFmtId="0" fontId="0" fillId="11" borderId="2" xfId="0" applyFill="1" applyBorder="1"/>
    <xf numFmtId="0" fontId="0" fillId="12" borderId="2" xfId="0" applyFill="1" applyBorder="1"/>
    <xf numFmtId="0" fontId="0" fillId="13" borderId="2" xfId="0" applyFill="1" applyBorder="1"/>
    <xf numFmtId="0" fontId="0" fillId="14" borderId="2" xfId="0" applyFill="1" applyBorder="1"/>
    <xf numFmtId="0" fontId="0" fillId="0" borderId="2" xfId="0" applyBorder="1" applyAlignment="1">
      <alignment wrapText="1"/>
    </xf>
    <xf numFmtId="0" fontId="2" fillId="15" borderId="2" xfId="0" applyFont="1" applyFill="1" applyBorder="1" applyAlignment="1">
      <alignment wrapText="1"/>
    </xf>
    <xf numFmtId="0" fontId="0" fillId="12" borderId="2" xfId="0" applyFill="1" applyBorder="1" applyAlignment="1">
      <alignment wrapText="1"/>
    </xf>
    <xf numFmtId="0" fontId="0" fillId="10" borderId="2" xfId="0" applyFill="1" applyBorder="1" applyAlignment="1">
      <alignment wrapText="1"/>
    </xf>
    <xf numFmtId="0" fontId="2" fillId="0" borderId="2" xfId="0" applyFont="1" applyBorder="1" applyAlignment="1">
      <alignment wrapText="1"/>
    </xf>
    <xf numFmtId="0" fontId="2" fillId="0" borderId="0" xfId="0" applyFont="1"/>
    <xf numFmtId="0" fontId="0" fillId="13" borderId="2" xfId="0" applyFill="1" applyBorder="1" applyAlignment="1">
      <alignment wrapText="1"/>
    </xf>
    <xf numFmtId="0" fontId="0" fillId="0" borderId="0" xfId="0" applyAlignment="1">
      <alignment wrapText="1"/>
    </xf>
    <xf numFmtId="0" fontId="2" fillId="0" borderId="8" xfId="0" applyFont="1" applyBorder="1" applyAlignment="1">
      <alignment wrapText="1"/>
    </xf>
    <xf numFmtId="0" fontId="0" fillId="0" borderId="8" xfId="0" applyBorder="1" applyAlignment="1">
      <alignment wrapText="1"/>
    </xf>
    <xf numFmtId="0" fontId="0" fillId="11" borderId="2" xfId="0" applyFill="1" applyBorder="1" applyAlignment="1">
      <alignment wrapText="1"/>
    </xf>
    <xf numFmtId="0" fontId="0" fillId="0" borderId="3" xfId="0" applyBorder="1"/>
    <xf numFmtId="0" fontId="0" fillId="0" borderId="22" xfId="0" applyBorder="1"/>
    <xf numFmtId="0" fontId="0" fillId="0" borderId="23" xfId="0" applyBorder="1"/>
    <xf numFmtId="0" fontId="0" fillId="14" borderId="11" xfId="0" applyFill="1" applyBorder="1"/>
    <xf numFmtId="0" fontId="0" fillId="14" borderId="12" xfId="0" applyFill="1" applyBorder="1"/>
    <xf numFmtId="0" fontId="0" fillId="0" borderId="17" xfId="0" applyBorder="1"/>
    <xf numFmtId="0" fontId="0" fillId="17" borderId="17" xfId="0" applyFill="1" applyBorder="1"/>
    <xf numFmtId="0" fontId="0" fillId="17" borderId="3" xfId="0" applyFill="1" applyBorder="1"/>
    <xf numFmtId="0" fontId="0" fillId="0" borderId="0" xfId="0" applyAlignment="1">
      <alignment horizontal="center" vertical="center"/>
    </xf>
    <xf numFmtId="0" fontId="0" fillId="0" borderId="17" xfId="0" applyBorder="1" applyAlignment="1">
      <alignment horizontal="center" vertical="center"/>
    </xf>
    <xf numFmtId="0" fontId="0" fillId="0" borderId="17" xfId="0" applyBorder="1" applyAlignment="1">
      <alignment wrapText="1"/>
    </xf>
    <xf numFmtId="44" fontId="0" fillId="18" borderId="17" xfId="20" applyFont="1" applyFill="1" applyBorder="1" applyAlignment="1">
      <alignment horizontal="left" vertical="center" wrapText="1"/>
    </xf>
    <xf numFmtId="0" fontId="2" fillId="0" borderId="17" xfId="0" applyFont="1" applyBorder="1" applyAlignment="1">
      <alignment wrapText="1"/>
    </xf>
    <xf numFmtId="0" fontId="0" fillId="0" borderId="20" xfId="0" applyBorder="1" applyAlignment="1">
      <alignment wrapText="1"/>
    </xf>
    <xf numFmtId="0" fontId="2" fillId="0" borderId="20" xfId="0" applyFont="1" applyBorder="1" applyAlignment="1">
      <alignment wrapText="1"/>
    </xf>
    <xf numFmtId="0" fontId="0" fillId="12" borderId="16" xfId="0" applyFill="1" applyBorder="1" applyAlignment="1">
      <alignment wrapText="1"/>
    </xf>
    <xf numFmtId="44" fontId="0" fillId="0" borderId="2" xfId="20" applyFont="1" applyFill="1" applyBorder="1" applyAlignment="1">
      <alignment wrapText="1"/>
    </xf>
    <xf numFmtId="44" fontId="0" fillId="0" borderId="2" xfId="20" applyFont="1" applyBorder="1" applyAlignment="1">
      <alignment wrapText="1"/>
    </xf>
    <xf numFmtId="44" fontId="0" fillId="0" borderId="3" xfId="20" applyFont="1" applyFill="1" applyBorder="1" applyAlignment="1">
      <alignment wrapText="1"/>
    </xf>
    <xf numFmtId="44" fontId="2" fillId="15" borderId="2" xfId="20" applyFont="1" applyFill="1" applyBorder="1" applyAlignment="1">
      <alignment horizontal="right" vertical="center" wrapText="1"/>
    </xf>
    <xf numFmtId="44" fontId="2" fillId="15" borderId="2" xfId="20" applyFont="1" applyFill="1" applyBorder="1" applyAlignment="1">
      <alignment wrapText="1"/>
    </xf>
    <xf numFmtId="44" fontId="0" fillId="0" borderId="2" xfId="20" applyFont="1" applyFill="1" applyBorder="1" applyAlignment="1">
      <alignment horizontal="right" wrapText="1"/>
    </xf>
    <xf numFmtId="44" fontId="0" fillId="0" borderId="2" xfId="20" applyFont="1" applyBorder="1" applyAlignment="1">
      <alignment horizontal="right" wrapText="1"/>
    </xf>
    <xf numFmtId="44" fontId="0" fillId="0" borderId="2" xfId="20" applyFont="1" applyFill="1" applyBorder="1" applyAlignment="1">
      <alignment horizontal="right" vertical="center" wrapText="1"/>
    </xf>
    <xf numFmtId="44" fontId="2" fillId="19" borderId="2" xfId="20" applyFont="1" applyFill="1" applyBorder="1" applyAlignment="1">
      <alignment horizontal="right" wrapText="1"/>
    </xf>
    <xf numFmtId="44" fontId="2" fillId="19" borderId="2" xfId="20" applyFont="1" applyFill="1" applyBorder="1" applyAlignment="1">
      <alignment wrapText="1"/>
    </xf>
    <xf numFmtId="44" fontId="2" fillId="0" borderId="2" xfId="20" applyFont="1" applyFill="1" applyBorder="1" applyAlignment="1">
      <alignment horizontal="right" vertical="center" wrapText="1"/>
    </xf>
    <xf numFmtId="44" fontId="2" fillId="0" borderId="2" xfId="20" applyFont="1" applyBorder="1" applyAlignment="1">
      <alignment wrapText="1"/>
    </xf>
    <xf numFmtId="44" fontId="2" fillId="19" borderId="2" xfId="20" applyFont="1" applyFill="1" applyBorder="1" applyAlignment="1">
      <alignment horizontal="right" vertical="center" wrapText="1"/>
    </xf>
    <xf numFmtId="44" fontId="2" fillId="0" borderId="2" xfId="20" applyFont="1" applyFill="1" applyBorder="1" applyAlignment="1">
      <alignment horizontal="center" vertical="center" wrapText="1"/>
    </xf>
    <xf numFmtId="44" fontId="0" fillId="15" borderId="2" xfId="20" applyFont="1" applyFill="1" applyBorder="1" applyAlignment="1">
      <alignment wrapText="1"/>
    </xf>
    <xf numFmtId="44" fontId="0" fillId="0" borderId="17" xfId="0" applyNumberFormat="1" applyBorder="1"/>
    <xf numFmtId="44" fontId="0" fillId="0" borderId="17" xfId="20" applyFont="1" applyBorder="1" applyAlignment="1">
      <alignment wrapText="1"/>
    </xf>
    <xf numFmtId="44" fontId="0" fillId="0" borderId="20" xfId="20" applyFont="1" applyBorder="1" applyAlignment="1">
      <alignment wrapText="1"/>
    </xf>
    <xf numFmtId="44" fontId="0" fillId="0" borderId="17" xfId="20" applyFont="1" applyBorder="1"/>
    <xf numFmtId="44" fontId="2" fillId="0" borderId="17" xfId="20" applyFont="1" applyBorder="1" applyAlignment="1">
      <alignment wrapText="1"/>
    </xf>
    <xf numFmtId="44" fontId="2" fillId="0" borderId="20" xfId="20" applyFont="1" applyBorder="1" applyAlignment="1">
      <alignment wrapText="1"/>
    </xf>
    <xf numFmtId="10" fontId="2" fillId="0" borderId="17" xfId="22" applyNumberFormat="1" applyFont="1" applyBorder="1" applyAlignment="1">
      <alignment wrapText="1"/>
    </xf>
    <xf numFmtId="0" fontId="0" fillId="0" borderId="17" xfId="0" applyFill="1" applyBorder="1"/>
    <xf numFmtId="44" fontId="0" fillId="0" borderId="29" xfId="20" applyFont="1" applyBorder="1" applyAlignment="1">
      <alignment wrapText="1"/>
    </xf>
    <xf numFmtId="44" fontId="0" fillId="0" borderId="32" xfId="20" applyFont="1" applyBorder="1" applyAlignment="1">
      <alignment wrapText="1"/>
    </xf>
    <xf numFmtId="44" fontId="0" fillId="0" borderId="29" xfId="20" applyFont="1" applyBorder="1"/>
    <xf numFmtId="10" fontId="2" fillId="0" borderId="27" xfId="22" applyNumberFormat="1" applyFont="1" applyBorder="1" applyAlignment="1">
      <alignment wrapText="1"/>
    </xf>
    <xf numFmtId="10" fontId="2" fillId="20" borderId="17" xfId="22" applyNumberFormat="1" applyFont="1" applyFill="1" applyBorder="1" applyAlignment="1">
      <alignment wrapText="1"/>
    </xf>
    <xf numFmtId="44" fontId="2" fillId="0" borderId="21" xfId="20" applyFont="1" applyBorder="1" applyAlignment="1">
      <alignment wrapText="1"/>
    </xf>
    <xf numFmtId="43" fontId="2" fillId="0" borderId="21" xfId="21" applyFont="1" applyBorder="1" applyAlignment="1">
      <alignment wrapText="1"/>
    </xf>
    <xf numFmtId="10" fontId="2" fillId="20" borderId="27" xfId="22" applyNumberFormat="1" applyFont="1" applyFill="1" applyBorder="1" applyAlignment="1">
      <alignment wrapText="1"/>
    </xf>
    <xf numFmtId="0" fontId="16" fillId="11" borderId="24" xfId="0" applyFont="1" applyFill="1" applyBorder="1" applyAlignment="1">
      <alignment horizontal="center" vertical="center" wrapText="1"/>
    </xf>
    <xf numFmtId="0" fontId="2" fillId="0" borderId="44" xfId="0" applyFont="1" applyBorder="1" applyAlignment="1">
      <alignment horizontal="right" vertical="center" wrapText="1"/>
    </xf>
    <xf numFmtId="0" fontId="16" fillId="11" borderId="24" xfId="0" applyFont="1" applyFill="1" applyBorder="1" applyAlignment="1">
      <alignment horizontal="right" vertical="center"/>
    </xf>
    <xf numFmtId="0" fontId="16" fillId="11" borderId="46" xfId="0" applyFont="1" applyFill="1" applyBorder="1" applyAlignment="1">
      <alignment horizontal="center" vertical="center" wrapText="1"/>
    </xf>
    <xf numFmtId="0" fontId="16" fillId="11" borderId="49" xfId="0" applyFont="1" applyFill="1" applyBorder="1" applyAlignment="1">
      <alignment horizontal="right" vertical="center"/>
    </xf>
    <xf numFmtId="0" fontId="2" fillId="0" borderId="39" xfId="0" applyFont="1" applyBorder="1" applyAlignment="1">
      <alignment horizontal="right" vertical="center" wrapText="1"/>
    </xf>
    <xf numFmtId="0" fontId="16" fillId="11" borderId="25" xfId="0" applyFont="1" applyFill="1" applyBorder="1" applyAlignment="1">
      <alignment horizontal="center" vertical="center"/>
    </xf>
    <xf numFmtId="0" fontId="16" fillId="11" borderId="26" xfId="0" applyFont="1" applyFill="1" applyBorder="1" applyAlignment="1">
      <alignment horizontal="center" vertical="center"/>
    </xf>
    <xf numFmtId="0" fontId="16" fillId="11" borderId="47" xfId="0" applyFont="1" applyFill="1" applyBorder="1" applyAlignment="1">
      <alignment horizontal="center" vertical="center"/>
    </xf>
    <xf numFmtId="0" fontId="16" fillId="11" borderId="48" xfId="0" applyFont="1" applyFill="1" applyBorder="1" applyAlignment="1">
      <alignment horizontal="center" vertical="center"/>
    </xf>
    <xf numFmtId="0" fontId="0" fillId="0" borderId="37" xfId="0" applyBorder="1" applyAlignment="1">
      <alignment wrapText="1"/>
    </xf>
    <xf numFmtId="44" fontId="0" fillId="0" borderId="38" xfId="20" applyFont="1" applyBorder="1"/>
    <xf numFmtId="0" fontId="2" fillId="0" borderId="37" xfId="0" applyFont="1" applyBorder="1" applyAlignment="1">
      <alignment wrapText="1"/>
    </xf>
    <xf numFmtId="44" fontId="0" fillId="0" borderId="40" xfId="20" applyFont="1" applyBorder="1"/>
    <xf numFmtId="44" fontId="0" fillId="0" borderId="41" xfId="20" applyFont="1" applyBorder="1"/>
    <xf numFmtId="44" fontId="0" fillId="20" borderId="17" xfId="20" applyFont="1" applyFill="1" applyBorder="1"/>
    <xf numFmtId="44" fontId="0" fillId="20" borderId="38" xfId="20" applyFont="1" applyFill="1" applyBorder="1"/>
    <xf numFmtId="0" fontId="0" fillId="0" borderId="42" xfId="0" applyBorder="1" applyAlignment="1">
      <alignment wrapText="1"/>
    </xf>
    <xf numFmtId="44" fontId="0" fillId="0" borderId="43" xfId="20" applyFont="1" applyBorder="1"/>
    <xf numFmtId="44" fontId="0" fillId="0" borderId="27" xfId="20" applyFont="1" applyBorder="1"/>
    <xf numFmtId="44" fontId="0" fillId="0" borderId="45" xfId="20" applyFont="1" applyBorder="1"/>
    <xf numFmtId="0" fontId="0" fillId="0" borderId="34" xfId="0" applyBorder="1" applyAlignment="1">
      <alignment wrapText="1"/>
    </xf>
    <xf numFmtId="0" fontId="0" fillId="0" borderId="38" xfId="0" applyBorder="1"/>
    <xf numFmtId="0" fontId="0" fillId="0" borderId="0" xfId="0" applyAlignment="1">
      <alignment horizontal="center" vertical="center" wrapText="1"/>
    </xf>
    <xf numFmtId="0" fontId="0" fillId="0" borderId="52" xfId="0" applyBorder="1" applyAlignment="1">
      <alignment wrapText="1"/>
    </xf>
    <xf numFmtId="0" fontId="0" fillId="0" borderId="54" xfId="0" applyFont="1" applyBorder="1" applyAlignment="1">
      <alignment wrapText="1"/>
    </xf>
    <xf numFmtId="44" fontId="0" fillId="0" borderId="35" xfId="20" applyFont="1" applyBorder="1"/>
    <xf numFmtId="44" fontId="0" fillId="0" borderId="53" xfId="20" applyFont="1" applyBorder="1"/>
    <xf numFmtId="44" fontId="0" fillId="0" borderId="17" xfId="20" applyFont="1" applyFill="1" applyBorder="1"/>
    <xf numFmtId="0" fontId="0" fillId="23" borderId="17" xfId="0" applyFill="1" applyBorder="1" applyAlignment="1">
      <alignment wrapText="1"/>
    </xf>
    <xf numFmtId="44" fontId="0" fillId="0" borderId="17" xfId="20" applyFont="1" applyBorder="1" applyAlignment="1">
      <alignment vertical="center"/>
    </xf>
    <xf numFmtId="44" fontId="0" fillId="0" borderId="7" xfId="20" applyFont="1" applyFill="1" applyBorder="1" applyAlignment="1">
      <alignment horizontal="right" vertical="center" wrapText="1"/>
    </xf>
    <xf numFmtId="0" fontId="2" fillId="19" borderId="3" xfId="0" applyFont="1" applyFill="1" applyBorder="1" applyAlignment="1">
      <alignment horizontal="center" wrapText="1"/>
    </xf>
    <xf numFmtId="0" fontId="2" fillId="19" borderId="16" xfId="0" applyFont="1" applyFill="1" applyBorder="1" applyAlignment="1">
      <alignment horizontal="center" wrapText="1"/>
    </xf>
    <xf numFmtId="0" fontId="0" fillId="0" borderId="17" xfId="0" applyFont="1" applyFill="1" applyBorder="1" applyAlignment="1">
      <alignment horizontal="left" vertical="center" wrapText="1"/>
    </xf>
    <xf numFmtId="0" fontId="0" fillId="0" borderId="30" xfId="0" applyFill="1" applyBorder="1" applyAlignment="1">
      <alignment horizontal="left" vertical="center" wrapText="1"/>
    </xf>
    <xf numFmtId="44" fontId="0" fillId="0" borderId="0" xfId="20" applyFont="1" applyFill="1" applyBorder="1" applyAlignment="1">
      <alignment horizontal="left" vertical="center" wrapText="1"/>
    </xf>
    <xf numFmtId="0" fontId="0" fillId="0" borderId="0" xfId="0" applyFill="1" applyBorder="1"/>
    <xf numFmtId="44" fontId="0" fillId="0" borderId="17" xfId="20" applyFont="1" applyFill="1" applyBorder="1" applyAlignment="1">
      <alignment horizontal="left" vertical="center" wrapText="1"/>
    </xf>
    <xf numFmtId="44" fontId="16" fillId="0" borderId="17" xfId="20" applyFont="1" applyFill="1" applyBorder="1" applyAlignment="1">
      <alignment horizontal="left" vertical="center" wrapText="1"/>
    </xf>
    <xf numFmtId="44" fontId="2" fillId="0" borderId="17" xfId="20" applyFont="1" applyFill="1" applyBorder="1" applyAlignment="1">
      <alignment horizontal="right" vertical="center" wrapText="1"/>
    </xf>
    <xf numFmtId="44" fontId="16" fillId="18" borderId="17" xfId="20" applyFont="1" applyFill="1" applyBorder="1" applyAlignment="1">
      <alignment horizontal="left" vertical="center" wrapText="1"/>
    </xf>
    <xf numFmtId="0" fontId="2" fillId="22" borderId="17" xfId="0" applyFont="1" applyFill="1" applyBorder="1" applyAlignment="1">
      <alignment wrapText="1"/>
    </xf>
    <xf numFmtId="0" fontId="0" fillId="22" borderId="17" xfId="0" applyFill="1" applyBorder="1" applyAlignment="1">
      <alignment wrapText="1"/>
    </xf>
    <xf numFmtId="0" fontId="2" fillId="21" borderId="17" xfId="0" applyFont="1" applyFill="1" applyBorder="1" applyAlignment="1">
      <alignment wrapText="1"/>
    </xf>
    <xf numFmtId="0" fontId="0" fillId="21" borderId="17" xfId="0" applyFill="1" applyBorder="1" applyAlignment="1">
      <alignment wrapText="1"/>
    </xf>
    <xf numFmtId="0" fontId="0" fillId="22" borderId="27" xfId="0" applyFill="1" applyBorder="1" applyAlignment="1">
      <alignment wrapText="1"/>
    </xf>
    <xf numFmtId="0" fontId="0" fillId="21" borderId="27" xfId="0" applyFill="1" applyBorder="1" applyAlignment="1">
      <alignment wrapText="1"/>
    </xf>
    <xf numFmtId="0" fontId="2" fillId="25" borderId="17" xfId="0" applyFont="1" applyFill="1" applyBorder="1" applyAlignment="1">
      <alignment wrapText="1"/>
    </xf>
    <xf numFmtId="0" fontId="0" fillId="25" borderId="17" xfId="0" applyFill="1" applyBorder="1" applyAlignment="1">
      <alignment wrapText="1"/>
    </xf>
    <xf numFmtId="0" fontId="0" fillId="0" borderId="17" xfId="0" applyBorder="1" applyAlignment="1">
      <alignment horizontal="center" vertical="center" wrapText="1"/>
    </xf>
    <xf numFmtId="0" fontId="2" fillId="23" borderId="17" xfId="0" applyFont="1" applyFill="1" applyBorder="1" applyAlignment="1">
      <alignment wrapText="1"/>
    </xf>
    <xf numFmtId="0" fontId="0" fillId="24" borderId="17" xfId="0" applyFill="1" applyBorder="1" applyAlignment="1">
      <alignment wrapText="1"/>
    </xf>
    <xf numFmtId="0" fontId="2" fillId="24" borderId="17" xfId="0" applyFont="1" applyFill="1" applyBorder="1" applyAlignment="1">
      <alignment wrapText="1"/>
    </xf>
    <xf numFmtId="44" fontId="0" fillId="21" borderId="17" xfId="20" applyFont="1" applyFill="1" applyBorder="1" applyAlignment="1">
      <alignment wrapText="1"/>
    </xf>
    <xf numFmtId="44" fontId="0" fillId="0" borderId="27" xfId="20" applyFont="1" applyBorder="1" applyAlignment="1">
      <alignment wrapText="1"/>
    </xf>
    <xf numFmtId="44" fontId="0" fillId="25" borderId="17" xfId="20" applyFont="1" applyFill="1" applyBorder="1" applyAlignment="1">
      <alignment wrapText="1"/>
    </xf>
    <xf numFmtId="44" fontId="0" fillId="23" borderId="17" xfId="20" applyFont="1" applyFill="1" applyBorder="1" applyAlignment="1">
      <alignment wrapText="1"/>
    </xf>
    <xf numFmtId="44" fontId="0" fillId="24" borderId="17" xfId="20" applyFont="1" applyFill="1" applyBorder="1" applyAlignment="1">
      <alignment wrapText="1"/>
    </xf>
    <xf numFmtId="44" fontId="0" fillId="22" borderId="17" xfId="20" applyFont="1" applyFill="1" applyBorder="1" applyAlignment="1">
      <alignment wrapText="1"/>
    </xf>
    <xf numFmtId="0" fontId="0" fillId="12" borderId="17" xfId="0" applyFill="1" applyBorder="1" applyAlignment="1">
      <alignment wrapText="1"/>
    </xf>
    <xf numFmtId="0" fontId="0" fillId="9" borderId="7" xfId="0" applyFill="1" applyBorder="1" applyAlignment="1">
      <alignment wrapText="1"/>
    </xf>
    <xf numFmtId="0" fontId="0" fillId="9" borderId="7" xfId="0" applyFill="1" applyBorder="1"/>
    <xf numFmtId="0" fontId="0" fillId="11" borderId="17" xfId="0" applyFill="1" applyBorder="1" applyAlignment="1">
      <alignment horizontal="center" vertical="center"/>
    </xf>
    <xf numFmtId="0" fontId="0" fillId="23" borderId="0" xfId="0" applyFill="1"/>
    <xf numFmtId="0" fontId="0" fillId="24" borderId="0" xfId="0" applyFill="1"/>
    <xf numFmtId="0" fontId="2" fillId="19" borderId="17" xfId="0" applyFont="1" applyFill="1" applyBorder="1" applyAlignment="1">
      <alignment horizontal="center" vertical="center" wrapText="1"/>
    </xf>
    <xf numFmtId="0" fontId="2" fillId="19" borderId="17" xfId="0" applyFont="1" applyFill="1" applyBorder="1" applyAlignment="1">
      <alignment wrapText="1"/>
    </xf>
    <xf numFmtId="0" fontId="0" fillId="26" borderId="17" xfId="0" applyFill="1" applyBorder="1" applyAlignment="1">
      <alignment wrapText="1"/>
    </xf>
    <xf numFmtId="0" fontId="0" fillId="0" borderId="17" xfId="0" quotePrefix="1" applyBorder="1" applyAlignment="1">
      <alignment wrapText="1"/>
    </xf>
    <xf numFmtId="0" fontId="2" fillId="15" borderId="65" xfId="0" applyFont="1" applyFill="1" applyBorder="1" applyAlignment="1">
      <alignment horizontal="center" vertical="center" wrapText="1"/>
    </xf>
    <xf numFmtId="44" fontId="2" fillId="15" borderId="2" xfId="20" applyFont="1" applyFill="1" applyBorder="1" applyAlignment="1">
      <alignment vertical="center" wrapText="1"/>
    </xf>
    <xf numFmtId="44" fontId="2" fillId="15" borderId="3" xfId="20" applyFont="1" applyFill="1" applyBorder="1" applyAlignment="1">
      <alignment vertical="center" wrapText="1"/>
    </xf>
    <xf numFmtId="44" fontId="2" fillId="15" borderId="30" xfId="20" applyFont="1" applyFill="1" applyBorder="1" applyAlignment="1">
      <alignment vertical="center" wrapText="1"/>
    </xf>
    <xf numFmtId="44" fontId="2" fillId="15" borderId="29" xfId="20" applyFont="1" applyFill="1" applyBorder="1" applyAlignment="1">
      <alignment vertical="center" wrapText="1"/>
    </xf>
    <xf numFmtId="44" fontId="2" fillId="15" borderId="13" xfId="20" applyFont="1" applyFill="1" applyBorder="1" applyAlignment="1">
      <alignment vertical="center" wrapText="1"/>
    </xf>
    <xf numFmtId="44" fontId="2" fillId="15" borderId="66" xfId="20" applyFont="1" applyFill="1" applyBorder="1" applyAlignment="1">
      <alignment vertical="center" wrapText="1"/>
    </xf>
    <xf numFmtId="44" fontId="2" fillId="15" borderId="65" xfId="20" applyFont="1" applyFill="1" applyBorder="1" applyAlignment="1">
      <alignment vertical="center" wrapText="1"/>
    </xf>
    <xf numFmtId="44" fontId="2" fillId="15" borderId="37" xfId="20" applyFont="1" applyFill="1" applyBorder="1" applyAlignment="1">
      <alignment vertical="center" wrapText="1"/>
    </xf>
    <xf numFmtId="44" fontId="2" fillId="15" borderId="17" xfId="20" applyFont="1" applyFill="1" applyBorder="1" applyAlignment="1">
      <alignment vertical="center" wrapText="1"/>
    </xf>
    <xf numFmtId="44" fontId="0" fillId="0" borderId="3" xfId="20" applyFont="1" applyBorder="1" applyAlignment="1">
      <alignment vertical="center" wrapText="1"/>
    </xf>
    <xf numFmtId="44" fontId="0" fillId="0" borderId="66" xfId="20" applyFont="1" applyBorder="1" applyAlignment="1">
      <alignment vertical="center" wrapText="1"/>
    </xf>
    <xf numFmtId="44" fontId="0" fillId="0" borderId="37" xfId="20" applyFont="1" applyBorder="1" applyAlignment="1">
      <alignment vertical="center"/>
    </xf>
    <xf numFmtId="44" fontId="0" fillId="0" borderId="38" xfId="20" applyFont="1" applyBorder="1" applyAlignment="1">
      <alignment vertical="center"/>
    </xf>
    <xf numFmtId="0" fontId="0" fillId="0" borderId="65" xfId="0" applyFill="1" applyBorder="1" applyAlignment="1">
      <alignment horizontal="center" vertical="center" wrapText="1"/>
    </xf>
    <xf numFmtId="44" fontId="0" fillId="0" borderId="2" xfId="20" applyFont="1" applyFill="1" applyBorder="1" applyAlignment="1">
      <alignment vertical="center" wrapText="1"/>
    </xf>
    <xf numFmtId="44" fontId="0" fillId="0" borderId="16" xfId="20" applyFont="1" applyFill="1" applyBorder="1" applyAlignment="1">
      <alignment vertical="center" wrapText="1"/>
    </xf>
    <xf numFmtId="44" fontId="2" fillId="15" borderId="16" xfId="20" applyFont="1" applyFill="1" applyBorder="1" applyAlignment="1">
      <alignment vertical="center" wrapText="1"/>
    </xf>
    <xf numFmtId="44" fontId="0" fillId="27" borderId="37" xfId="20" applyFont="1" applyFill="1" applyBorder="1" applyAlignment="1">
      <alignment vertical="center"/>
    </xf>
    <xf numFmtId="44" fontId="0" fillId="27" borderId="38" xfId="20" applyFont="1" applyFill="1" applyBorder="1" applyAlignment="1">
      <alignment vertical="center"/>
    </xf>
    <xf numFmtId="44" fontId="0" fillId="27" borderId="17" xfId="20" applyFont="1" applyFill="1" applyBorder="1" applyAlignment="1">
      <alignment vertical="center"/>
    </xf>
    <xf numFmtId="44" fontId="2" fillId="28" borderId="65" xfId="20" applyFont="1" applyFill="1" applyBorder="1" applyAlignment="1">
      <alignment vertical="center" wrapText="1"/>
    </xf>
    <xf numFmtId="44" fontId="2" fillId="28" borderId="66" xfId="20" applyFont="1" applyFill="1" applyBorder="1" applyAlignment="1">
      <alignment vertical="center" wrapText="1"/>
    </xf>
    <xf numFmtId="44" fontId="2" fillId="28" borderId="37" xfId="20" applyFont="1" applyFill="1" applyBorder="1" applyAlignment="1">
      <alignment vertical="center" wrapText="1"/>
    </xf>
    <xf numFmtId="44" fontId="2" fillId="28" borderId="17" xfId="20" applyFont="1" applyFill="1" applyBorder="1" applyAlignment="1">
      <alignment vertical="center" wrapText="1"/>
    </xf>
    <xf numFmtId="44" fontId="2" fillId="28" borderId="38" xfId="20" applyFont="1" applyFill="1" applyBorder="1" applyAlignment="1">
      <alignment vertical="center" wrapText="1"/>
    </xf>
    <xf numFmtId="44" fontId="0" fillId="0" borderId="3" xfId="20" applyFont="1" applyFill="1" applyBorder="1" applyAlignment="1">
      <alignment vertical="center" wrapText="1"/>
    </xf>
    <xf numFmtId="44" fontId="0" fillId="0" borderId="16" xfId="20" applyFont="1" applyFill="1" applyBorder="1" applyAlignment="1">
      <alignment vertical="center"/>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44" fontId="2" fillId="0" borderId="71" xfId="20" applyFont="1" applyFill="1" applyBorder="1" applyAlignment="1">
      <alignment vertical="center" wrapText="1"/>
    </xf>
    <xf numFmtId="44" fontId="2" fillId="0" borderId="72" xfId="20" applyFont="1" applyBorder="1" applyAlignment="1">
      <alignment vertical="center" wrapText="1"/>
    </xf>
    <xf numFmtId="44" fontId="0" fillId="0" borderId="40" xfId="20" applyFont="1" applyBorder="1" applyAlignment="1">
      <alignment vertical="center"/>
    </xf>
    <xf numFmtId="44" fontId="2" fillId="0" borderId="73" xfId="20" applyFont="1" applyBorder="1" applyAlignment="1">
      <alignment vertical="center" wrapText="1"/>
    </xf>
    <xf numFmtId="0" fontId="0" fillId="0" borderId="17" xfId="0" applyBorder="1" applyAlignment="1">
      <alignment horizontal="center" vertical="center" wrapText="1"/>
    </xf>
    <xf numFmtId="0" fontId="0" fillId="0" borderId="2" xfId="0" applyFill="1" applyBorder="1" applyAlignment="1">
      <alignment wrapText="1"/>
    </xf>
    <xf numFmtId="0" fontId="0" fillId="0" borderId="29" xfId="0" applyBorder="1" applyAlignment="1">
      <alignment wrapText="1"/>
    </xf>
    <xf numFmtId="44" fontId="20" fillId="0" borderId="17" xfId="20" applyFont="1" applyBorder="1" applyAlignment="1">
      <alignment wrapText="1"/>
    </xf>
    <xf numFmtId="0" fontId="18" fillId="0" borderId="17" xfId="20" applyNumberFormat="1" applyFont="1" applyFill="1" applyBorder="1" applyAlignment="1">
      <alignment wrapText="1"/>
    </xf>
    <xf numFmtId="44" fontId="2" fillId="19" borderId="2" xfId="20" applyFont="1" applyFill="1" applyBorder="1" applyAlignment="1">
      <alignment vertical="center" wrapText="1"/>
    </xf>
    <xf numFmtId="44" fontId="2" fillId="19" borderId="3" xfId="20" applyFont="1" applyFill="1" applyBorder="1" applyAlignment="1">
      <alignment vertical="center" wrapText="1"/>
    </xf>
    <xf numFmtId="44" fontId="2" fillId="19" borderId="17" xfId="20" applyFont="1" applyFill="1" applyBorder="1" applyAlignment="1">
      <alignment vertical="center"/>
    </xf>
    <xf numFmtId="44" fontId="2" fillId="19" borderId="16" xfId="20" applyFont="1" applyFill="1" applyBorder="1" applyAlignment="1">
      <alignment vertical="center" wrapText="1"/>
    </xf>
    <xf numFmtId="44" fontId="2" fillId="19" borderId="66" xfId="20" applyFont="1" applyFill="1" applyBorder="1" applyAlignment="1">
      <alignment vertical="center" wrapText="1"/>
    </xf>
    <xf numFmtId="0" fontId="0" fillId="0" borderId="75" xfId="0" applyFill="1" applyBorder="1" applyAlignment="1">
      <alignment horizontal="center" wrapText="1"/>
    </xf>
    <xf numFmtId="0" fontId="2" fillId="15" borderId="15" xfId="0" applyFont="1" applyFill="1" applyBorder="1" applyAlignment="1">
      <alignment horizontal="center" vertical="center" wrapText="1"/>
    </xf>
    <xf numFmtId="0" fontId="2" fillId="15" borderId="75" xfId="0" applyFont="1" applyFill="1" applyBorder="1" applyAlignment="1">
      <alignment horizontal="center" vertical="center" wrapText="1"/>
    </xf>
    <xf numFmtId="44" fontId="2" fillId="0" borderId="70" xfId="20" applyFont="1" applyFill="1" applyBorder="1" applyAlignment="1">
      <alignment horizontal="center" vertical="center" wrapText="1"/>
    </xf>
    <xf numFmtId="0" fontId="0" fillId="0" borderId="4" xfId="0" applyFill="1" applyBorder="1" applyAlignment="1">
      <alignment horizontal="left" vertical="center" wrapText="1"/>
    </xf>
    <xf numFmtId="44" fontId="0" fillId="18" borderId="17" xfId="20" applyFont="1" applyFill="1" applyBorder="1" applyAlignment="1">
      <alignment horizontal="center" vertical="center" wrapText="1"/>
    </xf>
    <xf numFmtId="44" fontId="0" fillId="0" borderId="0" xfId="20" applyFont="1" applyBorder="1" applyAlignment="1">
      <alignment vertical="center"/>
    </xf>
    <xf numFmtId="44" fontId="0" fillId="0" borderId="18" xfId="20" applyFont="1" applyBorder="1" applyAlignment="1">
      <alignment vertical="center" wrapText="1"/>
    </xf>
    <xf numFmtId="44" fontId="0" fillId="0" borderId="17" xfId="20" applyFont="1" applyBorder="1" applyAlignment="1">
      <alignment vertical="center" wrapText="1"/>
    </xf>
    <xf numFmtId="44" fontId="0" fillId="0" borderId="81" xfId="20" applyFont="1" applyBorder="1" applyAlignment="1">
      <alignment vertical="center"/>
    </xf>
    <xf numFmtId="44" fontId="0" fillId="0" borderId="37" xfId="20" applyFont="1" applyFill="1" applyBorder="1" applyAlignment="1">
      <alignment vertical="center"/>
    </xf>
    <xf numFmtId="44" fontId="0" fillId="0" borderId="17" xfId="20" applyFont="1" applyFill="1" applyBorder="1" applyAlignment="1">
      <alignment vertical="center"/>
    </xf>
    <xf numFmtId="0" fontId="2" fillId="19" borderId="22" xfId="0" applyFont="1" applyFill="1" applyBorder="1" applyAlignment="1">
      <alignment vertical="center"/>
    </xf>
    <xf numFmtId="0" fontId="2" fillId="15" borderId="82" xfId="0" applyFont="1" applyFill="1" applyBorder="1" applyAlignment="1">
      <alignment horizontal="center" vertical="center" wrapText="1"/>
    </xf>
    <xf numFmtId="44" fontId="0" fillId="0" borderId="17" xfId="0" applyNumberFormat="1" applyBorder="1" applyAlignment="1">
      <alignment wrapText="1"/>
    </xf>
    <xf numFmtId="0" fontId="16" fillId="11" borderId="64" xfId="0" applyFont="1" applyFill="1" applyBorder="1" applyAlignment="1">
      <alignment horizontal="center" vertical="center" wrapText="1"/>
    </xf>
    <xf numFmtId="0" fontId="16" fillId="11" borderId="61" xfId="0" applyFont="1" applyFill="1" applyBorder="1" applyAlignment="1">
      <alignment horizontal="center" vertical="center" wrapText="1"/>
    </xf>
    <xf numFmtId="0" fontId="16" fillId="11" borderId="32" xfId="0" applyFont="1" applyFill="1" applyBorder="1" applyAlignment="1">
      <alignment horizontal="center" vertical="center" wrapText="1"/>
    </xf>
    <xf numFmtId="0" fontId="16" fillId="11" borderId="43" xfId="0" applyFont="1" applyFill="1" applyBorder="1" applyAlignment="1">
      <alignment horizontal="center" vertical="center" wrapText="1"/>
    </xf>
    <xf numFmtId="0" fontId="16" fillId="11" borderId="37" xfId="0" applyFont="1" applyFill="1" applyBorder="1" applyAlignment="1">
      <alignment horizontal="center" vertical="center" wrapText="1"/>
    </xf>
    <xf numFmtId="0" fontId="16" fillId="11" borderId="38" xfId="0" applyFont="1" applyFill="1" applyBorder="1" applyAlignment="1">
      <alignment horizontal="center" vertical="center" wrapText="1"/>
    </xf>
    <xf numFmtId="0" fontId="16" fillId="11" borderId="17" xfId="0" applyFont="1" applyFill="1" applyBorder="1" applyAlignment="1">
      <alignment horizontal="center" vertical="center" wrapText="1"/>
    </xf>
    <xf numFmtId="44" fontId="0" fillId="27" borderId="17" xfId="20" applyFont="1" applyFill="1" applyBorder="1" applyAlignment="1">
      <alignment vertical="center" wrapText="1"/>
    </xf>
    <xf numFmtId="44" fontId="2" fillId="27" borderId="17" xfId="20" applyFont="1" applyFill="1" applyBorder="1" applyAlignment="1">
      <alignment vertical="center" wrapText="1"/>
    </xf>
    <xf numFmtId="44" fontId="2" fillId="0" borderId="17" xfId="0" applyNumberFormat="1" applyFont="1" applyBorder="1" applyAlignment="1">
      <alignment wrapText="1"/>
    </xf>
    <xf numFmtId="0" fontId="0" fillId="10" borderId="6" xfId="0" applyFill="1" applyBorder="1" applyAlignment="1">
      <alignment wrapText="1"/>
    </xf>
    <xf numFmtId="0" fontId="0" fillId="10" borderId="14" xfId="0" applyFill="1" applyBorder="1" applyAlignment="1">
      <alignment wrapText="1"/>
    </xf>
    <xf numFmtId="0" fontId="0" fillId="0" borderId="28" xfId="0" applyBorder="1" applyAlignment="1">
      <alignment wrapText="1"/>
    </xf>
    <xf numFmtId="0" fontId="0" fillId="0" borderId="17" xfId="0" applyFill="1" applyBorder="1" applyAlignment="1">
      <alignment wrapText="1"/>
    </xf>
    <xf numFmtId="44" fontId="0" fillId="0" borderId="29" xfId="20" applyFont="1" applyFill="1" applyBorder="1" applyAlignment="1">
      <alignment wrapText="1"/>
    </xf>
    <xf numFmtId="44" fontId="0" fillId="0" borderId="32" xfId="20" applyFont="1" applyFill="1" applyBorder="1" applyAlignment="1">
      <alignment wrapText="1"/>
    </xf>
    <xf numFmtId="0" fontId="2" fillId="20" borderId="17" xfId="0" applyFont="1" applyFill="1" applyBorder="1" applyAlignment="1">
      <alignment wrapText="1"/>
    </xf>
    <xf numFmtId="0" fontId="0" fillId="0" borderId="17" xfId="0" applyFill="1" applyBorder="1" applyAlignment="1">
      <alignment horizontal="left" vertical="center" wrapText="1"/>
    </xf>
    <xf numFmtId="0" fontId="0" fillId="0" borderId="17" xfId="0" applyFill="1" applyBorder="1" applyAlignment="1">
      <alignment horizontal="left" wrapText="1"/>
    </xf>
    <xf numFmtId="44" fontId="0" fillId="0" borderId="17" xfId="20" applyFont="1" applyFill="1" applyBorder="1" applyAlignment="1">
      <alignment vertical="center" wrapText="1"/>
    </xf>
    <xf numFmtId="44" fontId="23" fillId="0" borderId="38" xfId="20" applyFont="1" applyBorder="1" applyAlignment="1">
      <alignment vertical="center"/>
    </xf>
    <xf numFmtId="44" fontId="23" fillId="0" borderId="37" xfId="20" applyFont="1" applyBorder="1" applyAlignment="1">
      <alignment vertical="center"/>
    </xf>
    <xf numFmtId="44" fontId="0" fillId="0" borderId="17" xfId="0" applyNumberFormat="1" applyBorder="1" applyAlignment="1">
      <alignment vertical="center"/>
    </xf>
    <xf numFmtId="0" fontId="0" fillId="0" borderId="17" xfId="0" applyBorder="1" applyAlignment="1">
      <alignment vertical="center"/>
    </xf>
    <xf numFmtId="44" fontId="16" fillId="11" borderId="25" xfId="20" applyFont="1" applyFill="1" applyBorder="1" applyAlignment="1">
      <alignment vertical="center"/>
    </xf>
    <xf numFmtId="44" fontId="16" fillId="11" borderId="26" xfId="20" applyFont="1" applyFill="1" applyBorder="1" applyAlignment="1">
      <alignment vertical="center"/>
    </xf>
    <xf numFmtId="44" fontId="16" fillId="11" borderId="50" xfId="20" applyFont="1" applyFill="1" applyBorder="1" applyAlignment="1">
      <alignment vertical="center"/>
    </xf>
    <xf numFmtId="44" fontId="16" fillId="11" borderId="51" xfId="20" applyFont="1" applyFill="1" applyBorder="1" applyAlignment="1">
      <alignment vertical="center"/>
    </xf>
    <xf numFmtId="0" fontId="0" fillId="0" borderId="3" xfId="0" applyBorder="1" applyAlignment="1">
      <alignment wrapText="1"/>
    </xf>
    <xf numFmtId="0" fontId="0" fillId="0" borderId="16" xfId="0" applyBorder="1" applyAlignment="1">
      <alignment wrapText="1"/>
    </xf>
    <xf numFmtId="44" fontId="0" fillId="0" borderId="16" xfId="20" applyFont="1" applyBorder="1" applyAlignment="1">
      <alignment horizontal="right" wrapText="1"/>
    </xf>
    <xf numFmtId="0" fontId="0" fillId="0" borderId="4" xfId="0" applyBorder="1" applyAlignment="1">
      <alignment wrapText="1"/>
    </xf>
    <xf numFmtId="0" fontId="0" fillId="0" borderId="30" xfId="0" applyBorder="1" applyAlignment="1">
      <alignment wrapText="1"/>
    </xf>
    <xf numFmtId="0" fontId="0" fillId="0" borderId="13" xfId="0" applyBorder="1" applyAlignment="1">
      <alignment wrapText="1"/>
    </xf>
    <xf numFmtId="44" fontId="0" fillId="0" borderId="13" xfId="20" applyFont="1" applyFill="1" applyBorder="1" applyAlignment="1">
      <alignment horizontal="right" vertical="center"/>
    </xf>
    <xf numFmtId="0" fontId="0" fillId="10" borderId="4" xfId="0" applyFill="1" applyBorder="1" applyAlignment="1">
      <alignment wrapText="1"/>
    </xf>
    <xf numFmtId="44" fontId="0" fillId="0" borderId="4" xfId="20" applyFont="1" applyBorder="1" applyAlignment="1">
      <alignment wrapText="1"/>
    </xf>
    <xf numFmtId="44" fontId="2" fillId="19" borderId="7" xfId="20" applyFont="1" applyFill="1" applyBorder="1" applyAlignment="1">
      <alignment horizontal="right" vertical="center" wrapText="1"/>
    </xf>
    <xf numFmtId="44" fontId="2" fillId="19" borderId="7" xfId="20" applyFont="1" applyFill="1" applyBorder="1" applyAlignment="1">
      <alignment wrapText="1"/>
    </xf>
    <xf numFmtId="44" fontId="0" fillId="0" borderId="17" xfId="20" applyFont="1" applyFill="1" applyBorder="1" applyAlignment="1">
      <alignment horizontal="right" vertical="center"/>
    </xf>
    <xf numFmtId="44" fontId="0" fillId="0" borderId="17" xfId="20" applyFont="1" applyFill="1" applyBorder="1" applyAlignment="1">
      <alignment wrapText="1"/>
    </xf>
    <xf numFmtId="44" fontId="0" fillId="13" borderId="2" xfId="20" applyFont="1" applyFill="1" applyBorder="1" applyAlignment="1">
      <alignment wrapText="1"/>
    </xf>
    <xf numFmtId="44" fontId="0" fillId="0" borderId="2" xfId="0" applyNumberFormat="1" applyBorder="1" applyAlignment="1">
      <alignment wrapText="1"/>
    </xf>
    <xf numFmtId="44" fontId="0" fillId="0" borderId="13" xfId="20" applyFont="1" applyFill="1" applyBorder="1" applyAlignment="1">
      <alignment horizontal="center" vertical="center" wrapText="1"/>
    </xf>
    <xf numFmtId="0" fontId="0" fillId="12" borderId="4" xfId="0" applyFill="1" applyBorder="1" applyAlignment="1">
      <alignment wrapText="1"/>
    </xf>
    <xf numFmtId="0" fontId="2" fillId="15" borderId="64" xfId="0" applyFont="1" applyFill="1" applyBorder="1" applyAlignment="1">
      <alignment horizontal="center" vertical="center" wrapText="1"/>
    </xf>
    <xf numFmtId="0" fontId="2" fillId="15" borderId="83" xfId="0" applyFont="1" applyFill="1" applyBorder="1" applyAlignment="1">
      <alignment horizontal="center" vertical="center" wrapText="1"/>
    </xf>
    <xf numFmtId="44" fontId="0" fillId="0" borderId="74" xfId="20" applyFont="1" applyFill="1" applyBorder="1" applyAlignment="1">
      <alignment horizontal="center" vertical="center" wrapText="1"/>
    </xf>
    <xf numFmtId="44" fontId="0" fillId="0" borderId="27" xfId="20" applyFont="1" applyBorder="1" applyAlignment="1">
      <alignment vertical="center"/>
    </xf>
    <xf numFmtId="44" fontId="18" fillId="0" borderId="17" xfId="20" applyNumberFormat="1" applyFont="1" applyFill="1" applyBorder="1" applyAlignment="1">
      <alignment wrapText="1"/>
    </xf>
    <xf numFmtId="44" fontId="2" fillId="0" borderId="21" xfId="0" applyNumberFormat="1" applyFont="1" applyBorder="1" applyAlignment="1">
      <alignment wrapText="1"/>
    </xf>
    <xf numFmtId="10" fontId="2" fillId="0" borderId="21" xfId="22" applyNumberFormat="1" applyFont="1" applyBorder="1" applyAlignment="1">
      <alignment wrapText="1"/>
    </xf>
    <xf numFmtId="0" fontId="0" fillId="0" borderId="3" xfId="0" applyFill="1" applyBorder="1" applyAlignment="1">
      <alignment vertical="center" wrapText="1"/>
    </xf>
    <xf numFmtId="43" fontId="0" fillId="0" borderId="17" xfId="21" applyFont="1" applyFill="1" applyBorder="1" applyAlignment="1">
      <alignment vertical="center" wrapText="1"/>
    </xf>
    <xf numFmtId="43" fontId="0" fillId="27" borderId="17" xfId="21" applyFont="1" applyFill="1" applyBorder="1" applyAlignment="1">
      <alignment vertical="center" wrapText="1"/>
    </xf>
    <xf numFmtId="43" fontId="0" fillId="0" borderId="0" xfId="21" applyFont="1"/>
    <xf numFmtId="44" fontId="0" fillId="0" borderId="17" xfId="0" applyNumberFormat="1" applyFill="1" applyBorder="1" applyAlignment="1">
      <alignment vertical="center" wrapText="1"/>
    </xf>
    <xf numFmtId="43" fontId="0" fillId="0" borderId="17" xfId="21" applyFont="1" applyBorder="1" applyAlignment="1">
      <alignment vertical="center"/>
    </xf>
    <xf numFmtId="0" fontId="0" fillId="30" borderId="17" xfId="0" applyFill="1" applyBorder="1" applyAlignment="1">
      <alignment vertical="center"/>
    </xf>
    <xf numFmtId="0" fontId="0" fillId="0" borderId="0" xfId="0" applyAlignment="1">
      <alignment vertical="center"/>
    </xf>
    <xf numFmtId="44" fontId="0" fillId="0" borderId="17" xfId="0" applyNumberFormat="1" applyFill="1" applyBorder="1" applyAlignment="1">
      <alignment vertical="center"/>
    </xf>
    <xf numFmtId="0" fontId="0" fillId="0" borderId="17" xfId="0" applyBorder="1" applyAlignment="1">
      <alignment vertical="center" wrapText="1"/>
    </xf>
    <xf numFmtId="43" fontId="0" fillId="30" borderId="17" xfId="21" applyFont="1" applyFill="1" applyBorder="1" applyAlignment="1">
      <alignment vertical="center"/>
    </xf>
    <xf numFmtId="164" fontId="0" fillId="0" borderId="17" xfId="20" applyNumberFormat="1" applyFont="1" applyBorder="1" applyAlignment="1">
      <alignment wrapText="1"/>
    </xf>
    <xf numFmtId="44" fontId="0" fillId="0" borderId="36" xfId="20" applyFont="1" applyBorder="1"/>
    <xf numFmtId="0" fontId="0" fillId="14" borderId="4" xfId="0" applyFill="1" applyBorder="1"/>
    <xf numFmtId="0" fontId="0" fillId="33" borderId="17" xfId="0" applyFill="1" applyBorder="1"/>
    <xf numFmtId="44" fontId="0" fillId="13" borderId="4" xfId="20" applyFont="1" applyFill="1" applyBorder="1" applyAlignment="1">
      <alignment wrapText="1"/>
    </xf>
    <xf numFmtId="0" fontId="0" fillId="33" borderId="17" xfId="0" applyFill="1" applyBorder="1" applyAlignment="1">
      <alignment wrapText="1"/>
    </xf>
    <xf numFmtId="44" fontId="0" fillId="0" borderId="21" xfId="20" applyFont="1" applyFill="1" applyBorder="1" applyAlignment="1">
      <alignment wrapText="1"/>
    </xf>
    <xf numFmtId="0" fontId="16" fillId="31" borderId="17" xfId="0" applyFont="1" applyFill="1" applyBorder="1"/>
    <xf numFmtId="44" fontId="19" fillId="0" borderId="17" xfId="20" applyFont="1" applyFill="1" applyBorder="1" applyAlignment="1">
      <alignment vertical="center" wrapText="1"/>
    </xf>
    <xf numFmtId="10" fontId="0" fillId="26" borderId="17" xfId="0" applyNumberFormat="1" applyFill="1" applyBorder="1" applyAlignment="1">
      <alignment wrapText="1"/>
    </xf>
    <xf numFmtId="10" fontId="2" fillId="19" borderId="17" xfId="0" applyNumberFormat="1" applyFont="1" applyFill="1" applyBorder="1" applyAlignment="1">
      <alignment wrapText="1"/>
    </xf>
    <xf numFmtId="43" fontId="0" fillId="0" borderId="17" xfId="21" applyFont="1" applyBorder="1" applyAlignment="1">
      <alignment horizontal="left" wrapText="1"/>
    </xf>
    <xf numFmtId="0" fontId="0" fillId="34" borderId="17" xfId="0" applyFill="1" applyBorder="1"/>
    <xf numFmtId="44" fontId="0" fillId="34" borderId="17" xfId="20" applyFont="1" applyFill="1" applyBorder="1"/>
    <xf numFmtId="44" fontId="2" fillId="0" borderId="17" xfId="20" applyFont="1" applyFill="1" applyBorder="1" applyAlignment="1">
      <alignment vertical="center" wrapText="1"/>
    </xf>
    <xf numFmtId="0" fontId="0" fillId="10" borderId="3" xfId="0" applyFill="1" applyBorder="1" applyAlignment="1">
      <alignment wrapText="1"/>
    </xf>
    <xf numFmtId="44" fontId="0" fillId="0" borderId="2" xfId="0" applyNumberFormat="1" applyBorder="1"/>
    <xf numFmtId="0" fontId="0" fillId="35" borderId="2" xfId="0" applyFill="1" applyBorder="1" applyAlignment="1">
      <alignment wrapText="1"/>
    </xf>
    <xf numFmtId="0" fontId="2" fillId="35" borderId="8" xfId="0" applyFont="1" applyFill="1" applyBorder="1" applyAlignment="1">
      <alignment wrapText="1"/>
    </xf>
    <xf numFmtId="44" fontId="2" fillId="0" borderId="8" xfId="0" applyNumberFormat="1" applyFont="1" applyBorder="1"/>
    <xf numFmtId="10" fontId="0" fillId="0" borderId="17" xfId="0" applyNumberFormat="1" applyBorder="1"/>
    <xf numFmtId="44" fontId="0" fillId="14" borderId="2" xfId="20" applyFont="1" applyFill="1" applyBorder="1"/>
    <xf numFmtId="44" fontId="0" fillId="0" borderId="2" xfId="20" applyFont="1" applyBorder="1"/>
    <xf numFmtId="44" fontId="0" fillId="0" borderId="8" xfId="20" applyFont="1" applyBorder="1" applyAlignment="1">
      <alignment wrapText="1"/>
    </xf>
    <xf numFmtId="44" fontId="0" fillId="35" borderId="2" xfId="20" applyFont="1" applyFill="1" applyBorder="1" applyAlignment="1">
      <alignment wrapText="1"/>
    </xf>
    <xf numFmtId="10" fontId="0" fillId="0" borderId="17" xfId="22" applyNumberFormat="1" applyFont="1" applyBorder="1"/>
    <xf numFmtId="0" fontId="2" fillId="15" borderId="7" xfId="0" applyFont="1" applyFill="1" applyBorder="1" applyAlignment="1">
      <alignment wrapText="1"/>
    </xf>
    <xf numFmtId="44" fontId="0" fillId="15" borderId="7" xfId="20" applyFont="1" applyFill="1" applyBorder="1" applyAlignment="1">
      <alignment wrapText="1"/>
    </xf>
    <xf numFmtId="0" fontId="2" fillId="0" borderId="7" xfId="0" applyFont="1" applyBorder="1" applyAlignment="1">
      <alignment wrapText="1"/>
    </xf>
    <xf numFmtId="44" fontId="2" fillId="0" borderId="7" xfId="20" applyFont="1" applyBorder="1" applyAlignment="1">
      <alignment wrapText="1"/>
    </xf>
    <xf numFmtId="10" fontId="0" fillId="0" borderId="17" xfId="0" applyNumberFormat="1" applyBorder="1" applyAlignment="1">
      <alignment wrapText="1"/>
    </xf>
    <xf numFmtId="0" fontId="2" fillId="0" borderId="84" xfId="0" applyFont="1" applyBorder="1" applyAlignment="1">
      <alignment wrapText="1"/>
    </xf>
    <xf numFmtId="44" fontId="2" fillId="0" borderId="84" xfId="20" applyFont="1" applyBorder="1" applyAlignment="1">
      <alignment wrapText="1"/>
    </xf>
    <xf numFmtId="0" fontId="0" fillId="10" borderId="30" xfId="0" applyFill="1" applyBorder="1" applyAlignment="1">
      <alignment wrapText="1"/>
    </xf>
    <xf numFmtId="0" fontId="0" fillId="0" borderId="18" xfId="0" applyFill="1" applyBorder="1" applyAlignment="1">
      <alignment horizontal="left" vertical="center" wrapText="1"/>
    </xf>
    <xf numFmtId="0" fontId="0" fillId="0" borderId="60" xfId="0" applyBorder="1" applyAlignment="1">
      <alignment horizontal="center" wrapText="1"/>
    </xf>
    <xf numFmtId="0" fontId="0" fillId="0" borderId="57" xfId="0" applyBorder="1" applyAlignment="1">
      <alignment horizontal="center" wrapText="1"/>
    </xf>
    <xf numFmtId="2" fontId="0" fillId="0" borderId="17" xfId="0" applyNumberFormat="1" applyBorder="1" applyAlignment="1">
      <alignment wrapText="1"/>
    </xf>
    <xf numFmtId="0" fontId="0" fillId="0" borderId="0" xfId="0" applyBorder="1" applyAlignment="1">
      <alignment wrapText="1"/>
    </xf>
    <xf numFmtId="0" fontId="0" fillId="0" borderId="90" xfId="0" applyFill="1" applyBorder="1" applyAlignment="1">
      <alignment horizontal="left" vertical="center" wrapText="1"/>
    </xf>
    <xf numFmtId="0" fontId="0" fillId="0" borderId="92" xfId="0" applyBorder="1" applyAlignment="1">
      <alignment wrapText="1"/>
    </xf>
    <xf numFmtId="44" fontId="0" fillId="27" borderId="92" xfId="20" applyFont="1" applyFill="1" applyBorder="1" applyAlignment="1">
      <alignment vertical="center" wrapText="1"/>
    </xf>
    <xf numFmtId="44" fontId="0" fillId="0" borderId="92" xfId="0" applyNumberFormat="1" applyFill="1" applyBorder="1" applyAlignment="1">
      <alignment vertical="center" wrapText="1"/>
    </xf>
    <xf numFmtId="0" fontId="0" fillId="0" borderId="93" xfId="0" applyFill="1" applyBorder="1" applyAlignment="1">
      <alignment vertical="center" wrapText="1"/>
    </xf>
    <xf numFmtId="0" fontId="0" fillId="0" borderId="0" xfId="0" applyBorder="1"/>
    <xf numFmtId="0" fontId="0" fillId="0" borderId="94" xfId="0" applyBorder="1"/>
    <xf numFmtId="0" fontId="0" fillId="0" borderId="90" xfId="0" applyFont="1" applyFill="1" applyBorder="1" applyAlignment="1">
      <alignment horizontal="left" vertical="center" wrapText="1"/>
    </xf>
    <xf numFmtId="0" fontId="0" fillId="0" borderId="90" xfId="0" applyFill="1" applyBorder="1" applyAlignment="1">
      <alignment horizontal="left" wrapText="1"/>
    </xf>
    <xf numFmtId="0" fontId="2" fillId="0" borderId="90" xfId="0" applyFont="1" applyBorder="1" applyAlignment="1">
      <alignment wrapText="1"/>
    </xf>
    <xf numFmtId="0" fontId="0" fillId="0" borderId="90" xfId="0" applyBorder="1" applyAlignment="1">
      <alignment wrapText="1"/>
    </xf>
    <xf numFmtId="44" fontId="0" fillId="0" borderId="92" xfId="20" applyFont="1" applyFill="1" applyBorder="1" applyAlignment="1">
      <alignment vertical="center" wrapText="1"/>
    </xf>
    <xf numFmtId="44" fontId="0" fillId="0" borderId="92" xfId="0" applyNumberFormat="1" applyBorder="1" applyAlignment="1">
      <alignment vertical="center"/>
    </xf>
    <xf numFmtId="0" fontId="0" fillId="0" borderId="95" xfId="0" applyBorder="1"/>
    <xf numFmtId="43" fontId="0" fillId="0" borderId="0" xfId="21" applyFont="1" applyBorder="1"/>
    <xf numFmtId="0" fontId="0" fillId="0" borderId="0" xfId="0" applyBorder="1" applyAlignment="1">
      <alignment vertical="center"/>
    </xf>
    <xf numFmtId="44" fontId="0" fillId="0" borderId="92" xfId="0" applyNumberFormat="1" applyFill="1" applyBorder="1" applyAlignment="1">
      <alignment vertical="center"/>
    </xf>
    <xf numFmtId="0" fontId="0" fillId="0" borderId="94" xfId="0" applyBorder="1" applyAlignment="1">
      <alignment vertical="center"/>
    </xf>
    <xf numFmtId="0" fontId="0" fillId="0" borderId="92" xfId="0" applyBorder="1" applyAlignment="1">
      <alignment vertical="center" wrapText="1"/>
    </xf>
    <xf numFmtId="0" fontId="0" fillId="0" borderId="96" xfId="0" applyBorder="1"/>
    <xf numFmtId="0" fontId="0" fillId="0" borderId="97" xfId="0" applyBorder="1"/>
    <xf numFmtId="43" fontId="0" fillId="0" borderId="98" xfId="21" applyFont="1" applyFill="1" applyBorder="1" applyAlignment="1">
      <alignment vertical="center" wrapText="1"/>
    </xf>
    <xf numFmtId="44" fontId="0" fillId="0" borderId="98" xfId="20" applyFont="1" applyFill="1" applyBorder="1" applyAlignment="1">
      <alignment vertical="center" wrapText="1"/>
    </xf>
    <xf numFmtId="44" fontId="0" fillId="0" borderId="98" xfId="0" applyNumberFormat="1" applyFill="1" applyBorder="1" applyAlignment="1">
      <alignment vertical="center" wrapText="1"/>
    </xf>
    <xf numFmtId="44" fontId="0" fillId="0" borderId="99" xfId="0" applyNumberFormat="1" applyFill="1" applyBorder="1" applyAlignment="1">
      <alignment vertical="center" wrapText="1"/>
    </xf>
    <xf numFmtId="0" fontId="0" fillId="0" borderId="94" xfId="0" applyBorder="1" applyAlignment="1">
      <alignment wrapText="1"/>
    </xf>
    <xf numFmtId="0" fontId="0" fillId="0" borderId="95" xfId="0" applyBorder="1" applyAlignment="1">
      <alignment wrapText="1"/>
    </xf>
    <xf numFmtId="43" fontId="0" fillId="0" borderId="17" xfId="21" applyFont="1" applyBorder="1" applyAlignment="1">
      <alignment vertical="center" wrapText="1"/>
    </xf>
    <xf numFmtId="43" fontId="0" fillId="0" borderId="0" xfId="21" applyFont="1" applyBorder="1" applyAlignment="1">
      <alignment wrapText="1"/>
    </xf>
    <xf numFmtId="0" fontId="0" fillId="30" borderId="17" xfId="0" applyFill="1" applyBorder="1" applyAlignment="1">
      <alignment vertical="center" wrapText="1"/>
    </xf>
    <xf numFmtId="43" fontId="0" fillId="30" borderId="17" xfId="21" applyFont="1" applyFill="1" applyBorder="1" applyAlignment="1">
      <alignment vertical="center" wrapText="1"/>
    </xf>
    <xf numFmtId="0" fontId="0" fillId="0" borderId="0" xfId="0" applyBorder="1" applyAlignment="1">
      <alignment vertical="center" wrapText="1"/>
    </xf>
    <xf numFmtId="0" fontId="0" fillId="0" borderId="94" xfId="0" applyBorder="1" applyAlignment="1">
      <alignment vertical="center" wrapText="1"/>
    </xf>
    <xf numFmtId="0" fontId="0" fillId="0" borderId="96" xfId="0" applyBorder="1" applyAlignment="1">
      <alignment wrapText="1"/>
    </xf>
    <xf numFmtId="0" fontId="0" fillId="0" borderId="97" xfId="0" applyBorder="1" applyAlignment="1">
      <alignment wrapText="1"/>
    </xf>
    <xf numFmtId="44" fontId="0" fillId="0" borderId="20" xfId="0" applyNumberFormat="1" applyFill="1" applyBorder="1" applyAlignment="1">
      <alignment vertical="center" wrapText="1"/>
    </xf>
    <xf numFmtId="0" fontId="0" fillId="0" borderId="100" xfId="0" applyBorder="1"/>
    <xf numFmtId="43" fontId="0" fillId="34" borderId="17" xfId="21" applyFont="1" applyFill="1" applyBorder="1"/>
    <xf numFmtId="43" fontId="0" fillId="0" borderId="17" xfId="21" applyFont="1" applyFill="1" applyBorder="1"/>
    <xf numFmtId="43" fontId="0" fillId="0" borderId="17" xfId="21" applyFont="1" applyBorder="1" applyAlignment="1">
      <alignment wrapText="1"/>
    </xf>
    <xf numFmtId="44" fontId="0" fillId="0" borderId="92" xfId="20" applyFont="1" applyBorder="1" applyAlignment="1">
      <alignment vertical="center"/>
    </xf>
    <xf numFmtId="44" fontId="0" fillId="29" borderId="17" xfId="20" applyFont="1" applyFill="1" applyBorder="1" applyAlignment="1">
      <alignment vertical="center"/>
    </xf>
    <xf numFmtId="44" fontId="0" fillId="30" borderId="17" xfId="20" applyFont="1" applyFill="1" applyBorder="1" applyAlignment="1">
      <alignment vertical="center"/>
    </xf>
    <xf numFmtId="44" fontId="0" fillId="0" borderId="92" xfId="20" applyFont="1" applyBorder="1" applyAlignment="1">
      <alignment vertical="center" wrapText="1"/>
    </xf>
    <xf numFmtId="44" fontId="0" fillId="29" borderId="17" xfId="20" applyFont="1" applyFill="1" applyBorder="1" applyAlignment="1">
      <alignment vertical="center" wrapText="1"/>
    </xf>
    <xf numFmtId="44" fontId="0" fillId="30" borderId="17" xfId="20" applyFont="1" applyFill="1" applyBorder="1" applyAlignment="1">
      <alignment vertical="center" wrapText="1"/>
    </xf>
    <xf numFmtId="44" fontId="0" fillId="0" borderId="92" xfId="20" applyFont="1" applyFill="1" applyBorder="1" applyAlignment="1">
      <alignment wrapText="1"/>
    </xf>
    <xf numFmtId="43" fontId="0" fillId="0" borderId="17" xfId="21" applyFont="1" applyFill="1" applyBorder="1" applyAlignment="1">
      <alignment wrapText="1"/>
    </xf>
    <xf numFmtId="0" fontId="0" fillId="0" borderId="95" xfId="0" applyBorder="1" applyAlignment="1">
      <alignment vertical="center" wrapText="1"/>
    </xf>
    <xf numFmtId="0" fontId="0" fillId="0" borderId="104" xfId="0" applyBorder="1" applyAlignment="1">
      <alignment horizontal="center" wrapText="1"/>
    </xf>
    <xf numFmtId="0" fontId="0" fillId="0" borderId="88" xfId="0" applyBorder="1" applyAlignment="1">
      <alignment horizontal="center" wrapText="1"/>
    </xf>
    <xf numFmtId="0" fontId="0" fillId="0" borderId="101" xfId="0" applyBorder="1"/>
    <xf numFmtId="0" fontId="0" fillId="0" borderId="102" xfId="0" applyBorder="1"/>
    <xf numFmtId="0" fontId="0" fillId="0" borderId="103" xfId="0" applyBorder="1"/>
    <xf numFmtId="0" fontId="25" fillId="0" borderId="86" xfId="0" applyFont="1" applyBorder="1" applyAlignment="1">
      <alignment horizontal="right"/>
    </xf>
    <xf numFmtId="0" fontId="27" fillId="0" borderId="98" xfId="0" quotePrefix="1" applyFont="1" applyBorder="1" applyAlignment="1">
      <alignment horizontal="right"/>
    </xf>
    <xf numFmtId="0" fontId="27" fillId="0" borderId="86" xfId="0" quotePrefix="1" applyFont="1" applyBorder="1" applyAlignment="1">
      <alignment horizontal="right"/>
    </xf>
    <xf numFmtId="0" fontId="26" fillId="0" borderId="98" xfId="0" quotePrefix="1" applyFont="1" applyBorder="1" applyAlignment="1">
      <alignment horizontal="right"/>
    </xf>
    <xf numFmtId="0" fontId="26" fillId="0" borderId="98" xfId="0" quotePrefix="1" applyFont="1" applyBorder="1" applyAlignment="1">
      <alignment horizontal="right" vertical="center"/>
    </xf>
    <xf numFmtId="0" fontId="20" fillId="0" borderId="98" xfId="0" quotePrefix="1" applyFont="1" applyBorder="1" applyAlignment="1">
      <alignment horizontal="right" vertical="center"/>
    </xf>
    <xf numFmtId="0" fontId="26" fillId="0" borderId="86" xfId="0" applyFont="1" applyBorder="1" applyAlignment="1">
      <alignment horizontal="right"/>
    </xf>
    <xf numFmtId="0" fontId="20" fillId="0" borderId="108" xfId="0" quotePrefix="1" applyFont="1" applyBorder="1" applyAlignment="1">
      <alignment horizontal="right"/>
    </xf>
    <xf numFmtId="44" fontId="0" fillId="0" borderId="92" xfId="20" applyFont="1" applyFill="1" applyBorder="1"/>
    <xf numFmtId="44" fontId="0" fillId="0" borderId="99" xfId="20" applyFont="1" applyFill="1" applyBorder="1" applyAlignment="1">
      <alignment vertical="center" wrapText="1"/>
    </xf>
    <xf numFmtId="44" fontId="0" fillId="0" borderId="92" xfId="20" applyFont="1" applyFill="1" applyBorder="1" applyAlignment="1">
      <alignment vertical="center"/>
    </xf>
    <xf numFmtId="0" fontId="0" fillId="0" borderId="2" xfId="0" applyFill="1" applyBorder="1" applyAlignment="1">
      <alignment horizontal="center" vertical="center"/>
    </xf>
    <xf numFmtId="0" fontId="0" fillId="0" borderId="17" xfId="0" applyBorder="1" applyAlignment="1">
      <alignment horizontal="center"/>
    </xf>
    <xf numFmtId="0" fontId="0" fillId="0" borderId="17" xfId="0" applyFill="1" applyBorder="1" applyAlignment="1">
      <alignment horizontal="center" vertical="center"/>
    </xf>
    <xf numFmtId="44" fontId="15" fillId="0" borderId="3" xfId="20" applyFont="1" applyBorder="1" applyAlignment="1">
      <alignment horizontal="center" wrapText="1"/>
    </xf>
    <xf numFmtId="44" fontId="15" fillId="0" borderId="16" xfId="20" applyFont="1" applyBorder="1" applyAlignment="1">
      <alignment horizontal="center" wrapText="1"/>
    </xf>
    <xf numFmtId="0" fontId="0" fillId="0" borderId="3" xfId="0" applyFill="1" applyBorder="1" applyAlignment="1">
      <alignment horizontal="left" vertical="center" wrapText="1"/>
    </xf>
    <xf numFmtId="0" fontId="0" fillId="0" borderId="16"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xf numFmtId="0" fontId="0" fillId="0" borderId="2" xfId="0" applyFill="1" applyBorder="1" applyAlignment="1">
      <alignment horizontal="left" vertical="center" wrapText="1"/>
    </xf>
    <xf numFmtId="0" fontId="2" fillId="19" borderId="2" xfId="0" applyFont="1" applyFill="1" applyBorder="1" applyAlignment="1">
      <alignment horizontal="left" vertical="center" wrapText="1"/>
    </xf>
    <xf numFmtId="0" fontId="0" fillId="0" borderId="3" xfId="0" applyBorder="1" applyAlignment="1">
      <alignment horizontal="center" wrapText="1"/>
    </xf>
    <xf numFmtId="0" fontId="0" fillId="0" borderId="16" xfId="0" applyBorder="1" applyAlignment="1">
      <alignment horizontal="center" wrapText="1"/>
    </xf>
    <xf numFmtId="0" fontId="2" fillId="0" borderId="78"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44" fontId="0" fillId="0" borderId="4" xfId="20" applyFont="1" applyFill="1" applyBorder="1" applyAlignment="1">
      <alignment horizontal="right" vertical="center" wrapText="1"/>
    </xf>
    <xf numFmtId="44" fontId="0" fillId="0" borderId="7" xfId="20" applyFont="1" applyFill="1" applyBorder="1" applyAlignment="1">
      <alignment horizontal="right" vertical="center" wrapText="1"/>
    </xf>
    <xf numFmtId="44" fontId="0" fillId="0" borderId="6" xfId="20"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15" borderId="2"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17" xfId="0" applyFont="1" applyFill="1" applyBorder="1" applyAlignment="1">
      <alignment horizontal="left" vertical="center" wrapText="1"/>
    </xf>
    <xf numFmtId="0" fontId="15" fillId="11"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2" fillId="19" borderId="7" xfId="0" applyFont="1" applyFill="1" applyBorder="1" applyAlignment="1">
      <alignment horizontal="left" vertical="center" wrapText="1"/>
    </xf>
    <xf numFmtId="0" fontId="2" fillId="15" borderId="4" xfId="0" applyFont="1" applyFill="1" applyBorder="1" applyAlignment="1">
      <alignment horizontal="left" vertical="center" wrapText="1"/>
    </xf>
    <xf numFmtId="0" fontId="15" fillId="31" borderId="18" xfId="0" applyFont="1" applyFill="1" applyBorder="1" applyAlignment="1">
      <alignment horizontal="center" vertical="center" wrapText="1"/>
    </xf>
    <xf numFmtId="0" fontId="15" fillId="31" borderId="19" xfId="0" applyFont="1" applyFill="1" applyBorder="1" applyAlignment="1">
      <alignment horizontal="center" vertical="center" wrapText="1"/>
    </xf>
    <xf numFmtId="0" fontId="15" fillId="31"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15" borderId="18" xfId="0" applyFont="1" applyFill="1" applyBorder="1" applyAlignment="1">
      <alignment horizontal="left" vertical="center" wrapText="1"/>
    </xf>
    <xf numFmtId="0" fontId="2" fillId="15" borderId="16" xfId="0" applyFont="1" applyFill="1" applyBorder="1" applyAlignment="1">
      <alignment horizontal="left" vertical="center" wrapText="1"/>
    </xf>
    <xf numFmtId="0" fontId="2" fillId="15"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2" fillId="19" borderId="30" xfId="0" applyFont="1" applyFill="1" applyBorder="1" applyAlignment="1">
      <alignment horizontal="center" wrapText="1"/>
    </xf>
    <xf numFmtId="0" fontId="2" fillId="19" borderId="13" xfId="0" applyFont="1" applyFill="1" applyBorder="1" applyAlignment="1">
      <alignment horizontal="center" wrapText="1"/>
    </xf>
    <xf numFmtId="0" fontId="0" fillId="0" borderId="14" xfId="0"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0" fillId="14" borderId="3" xfId="0" applyFill="1" applyBorder="1"/>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0" fillId="0" borderId="2" xfId="0" applyFill="1" applyBorder="1" applyAlignment="1">
      <alignment horizontal="center" vertical="center" wrapText="1"/>
    </xf>
    <xf numFmtId="0" fontId="16" fillId="11" borderId="120" xfId="0" applyFont="1" applyFill="1" applyBorder="1" applyAlignment="1">
      <alignment horizontal="center" vertical="center" wrapText="1"/>
    </xf>
    <xf numFmtId="0" fontId="16" fillId="11" borderId="121" xfId="0" applyFont="1" applyFill="1" applyBorder="1" applyAlignment="1">
      <alignment horizontal="center" vertical="center" wrapText="1"/>
    </xf>
    <xf numFmtId="44" fontId="0" fillId="0" borderId="4" xfId="20" applyFont="1" applyFill="1" applyBorder="1" applyAlignment="1">
      <alignment horizontal="center" vertical="center" wrapText="1"/>
    </xf>
    <xf numFmtId="44" fontId="0" fillId="0" borderId="6" xfId="20" applyFont="1" applyFill="1" applyBorder="1" applyAlignment="1">
      <alignment horizontal="center" vertical="center" wrapText="1"/>
    </xf>
    <xf numFmtId="44" fontId="0" fillId="0" borderId="7" xfId="20" applyFont="1"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16" fillId="0" borderId="59" xfId="0" applyFont="1" applyBorder="1" applyAlignment="1">
      <alignment horizontal="center" wrapText="1"/>
    </xf>
    <xf numFmtId="0" fontId="16" fillId="0" borderId="63" xfId="0" applyFont="1" applyBorder="1" applyAlignment="1">
      <alignment horizontal="center" wrapText="1"/>
    </xf>
    <xf numFmtId="0" fontId="16" fillId="0" borderId="62" xfId="0" applyFont="1" applyBorder="1" applyAlignment="1">
      <alignment horizontal="center" wrapText="1"/>
    </xf>
    <xf numFmtId="0" fontId="0" fillId="0" borderId="17" xfId="0" applyBorder="1" applyAlignment="1">
      <alignment horizontal="center" wrapText="1"/>
    </xf>
    <xf numFmtId="0" fontId="0" fillId="0" borderId="17" xfId="0" applyBorder="1" applyAlignment="1">
      <alignment horizontal="center" vertical="center" wrapText="1"/>
    </xf>
    <xf numFmtId="44" fontId="0" fillId="0" borderId="55" xfId="20" applyFont="1" applyBorder="1" applyAlignment="1">
      <alignment horizontal="center" wrapText="1"/>
    </xf>
    <xf numFmtId="44" fontId="0" fillId="0" borderId="58" xfId="20" applyFont="1" applyBorder="1" applyAlignment="1">
      <alignment horizontal="center" wrapText="1"/>
    </xf>
    <xf numFmtId="44" fontId="0" fillId="0" borderId="60" xfId="20" applyFont="1" applyBorder="1" applyAlignment="1">
      <alignment horizontal="center" wrapText="1"/>
    </xf>
    <xf numFmtId="44" fontId="0" fillId="0" borderId="17" xfId="20" applyFont="1" applyFill="1" applyBorder="1" applyAlignment="1">
      <alignment horizontal="center" wrapText="1"/>
    </xf>
    <xf numFmtId="44" fontId="2" fillId="0" borderId="32" xfId="20" applyFont="1" applyBorder="1" applyAlignment="1">
      <alignment horizontal="center" wrapText="1"/>
    </xf>
    <xf numFmtId="44" fontId="2" fillId="0" borderId="56" xfId="20" applyFont="1" applyBorder="1" applyAlignment="1">
      <alignment horizontal="center" wrapText="1"/>
    </xf>
    <xf numFmtId="44" fontId="2" fillId="0" borderId="57" xfId="20" applyFont="1" applyBorder="1" applyAlignment="1">
      <alignment horizontal="center" wrapText="1"/>
    </xf>
    <xf numFmtId="0" fontId="16" fillId="11" borderId="20" xfId="0" applyFont="1" applyFill="1" applyBorder="1" applyAlignment="1">
      <alignment horizontal="center" vertical="center" wrapText="1"/>
    </xf>
    <xf numFmtId="0" fontId="16" fillId="11" borderId="33" xfId="0" applyFont="1" applyFill="1" applyBorder="1" applyAlignment="1">
      <alignment horizontal="center" vertical="center" wrapText="1"/>
    </xf>
    <xf numFmtId="0" fontId="16" fillId="11" borderId="21" xfId="0" applyFont="1" applyFill="1" applyBorder="1" applyAlignment="1">
      <alignment horizontal="center" vertical="center" wrapText="1"/>
    </xf>
    <xf numFmtId="44" fontId="2" fillId="0" borderId="20" xfId="20" applyFont="1" applyBorder="1" applyAlignment="1">
      <alignment horizontal="center" wrapText="1"/>
    </xf>
    <xf numFmtId="44" fontId="2" fillId="0" borderId="33" xfId="20" applyFont="1" applyBorder="1" applyAlignment="1">
      <alignment horizontal="center" wrapText="1"/>
    </xf>
    <xf numFmtId="44" fontId="2" fillId="0" borderId="21" xfId="20" applyFont="1" applyBorder="1" applyAlignment="1">
      <alignment horizontal="center" wrapText="1"/>
    </xf>
    <xf numFmtId="44" fontId="0" fillId="0" borderId="20" xfId="20" applyFont="1" applyBorder="1" applyAlignment="1">
      <alignment horizontal="center" wrapText="1"/>
    </xf>
    <xf numFmtId="44" fontId="0" fillId="0" borderId="33" xfId="20" applyFont="1" applyBorder="1" applyAlignment="1">
      <alignment horizontal="center" wrapText="1"/>
    </xf>
    <xf numFmtId="44" fontId="0" fillId="0" borderId="21" xfId="20" applyFont="1" applyBorder="1" applyAlignment="1">
      <alignment horizontal="center" wrapText="1"/>
    </xf>
    <xf numFmtId="44" fontId="0" fillId="0" borderId="20" xfId="0" applyNumberFormat="1" applyBorder="1" applyAlignment="1">
      <alignment horizontal="center"/>
    </xf>
    <xf numFmtId="0" fontId="0" fillId="0" borderId="33" xfId="0" applyBorder="1" applyAlignment="1">
      <alignment horizontal="center"/>
    </xf>
    <xf numFmtId="0" fontId="0" fillId="0" borderId="21" xfId="0" applyBorder="1" applyAlignment="1">
      <alignment horizontal="center"/>
    </xf>
    <xf numFmtId="0" fontId="2" fillId="0" borderId="17"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2" fillId="0" borderId="17" xfId="0" applyFont="1" applyBorder="1" applyAlignment="1">
      <alignment horizontal="center" vertical="center" wrapText="1"/>
    </xf>
    <xf numFmtId="0" fontId="16" fillId="11" borderId="17"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60" xfId="0" applyBorder="1" applyAlignment="1">
      <alignment horizontal="center" vertical="center" wrapText="1"/>
    </xf>
    <xf numFmtId="0" fontId="0" fillId="0" borderId="32" xfId="0" applyBorder="1" applyAlignment="1">
      <alignment horizontal="center" vertical="center" wrapText="1"/>
    </xf>
    <xf numFmtId="0" fontId="0" fillId="0" borderId="57" xfId="0" applyBorder="1" applyAlignment="1">
      <alignment horizontal="center" vertical="center" wrapText="1"/>
    </xf>
    <xf numFmtId="0" fontId="0" fillId="10" borderId="20" xfId="0" applyFill="1" applyBorder="1" applyAlignment="1">
      <alignment horizontal="center" vertical="center"/>
    </xf>
    <xf numFmtId="0" fontId="0" fillId="10" borderId="33" xfId="0" applyFill="1" applyBorder="1" applyAlignment="1">
      <alignment horizontal="center" vertical="center"/>
    </xf>
    <xf numFmtId="0" fontId="0" fillId="10" borderId="21" xfId="0" applyFill="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6" fillId="31" borderId="17" xfId="0" applyFont="1" applyFill="1" applyBorder="1" applyAlignment="1">
      <alignment horizontal="center" vertical="center" textRotation="90"/>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16" fillId="10" borderId="17" xfId="0" applyFont="1" applyFill="1" applyBorder="1" applyAlignment="1">
      <alignment horizontal="center" vertical="center"/>
    </xf>
    <xf numFmtId="0" fontId="0" fillId="0" borderId="55" xfId="0" applyBorder="1" applyAlignment="1">
      <alignment horizontal="center" wrapText="1"/>
    </xf>
    <xf numFmtId="0" fontId="0" fillId="0" borderId="60" xfId="0" applyBorder="1" applyAlignment="1">
      <alignment horizontal="center" wrapText="1"/>
    </xf>
    <xf numFmtId="0" fontId="0" fillId="0" borderId="32" xfId="0" applyBorder="1" applyAlignment="1">
      <alignment horizontal="center" wrapText="1"/>
    </xf>
    <xf numFmtId="0" fontId="0" fillId="0" borderId="57" xfId="0" applyBorder="1" applyAlignment="1">
      <alignment horizontal="center" wrapText="1"/>
    </xf>
    <xf numFmtId="0" fontId="2" fillId="0" borderId="17" xfId="0" applyFont="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0" xfId="0" applyBorder="1" applyAlignment="1">
      <alignment horizontal="left"/>
    </xf>
    <xf numFmtId="0" fontId="0" fillId="0" borderId="21" xfId="0" applyBorder="1" applyAlignment="1">
      <alignment horizontal="left"/>
    </xf>
    <xf numFmtId="0" fontId="0" fillId="0" borderId="20" xfId="0" applyBorder="1" applyAlignment="1">
      <alignment horizontal="left" wrapText="1"/>
    </xf>
    <xf numFmtId="0" fontId="0" fillId="0" borderId="21" xfId="0" applyBorder="1" applyAlignment="1">
      <alignment horizontal="left" wrapText="1"/>
    </xf>
    <xf numFmtId="0" fontId="0" fillId="0" borderId="17" xfId="0" applyFill="1" applyBorder="1" applyAlignment="1">
      <alignment horizontal="left" vertical="center" wrapText="1"/>
    </xf>
    <xf numFmtId="0" fontId="0" fillId="0" borderId="17" xfId="0" applyBorder="1" applyAlignment="1">
      <alignment horizontal="left" wrapText="1"/>
    </xf>
    <xf numFmtId="0" fontId="2" fillId="19" borderId="20" xfId="0" applyFont="1" applyFill="1" applyBorder="1" applyAlignment="1">
      <alignment horizontal="center" wrapText="1"/>
    </xf>
    <xf numFmtId="0" fontId="2" fillId="19" borderId="33" xfId="0" applyFont="1" applyFill="1" applyBorder="1" applyAlignment="1">
      <alignment horizontal="center" wrapText="1"/>
    </xf>
    <xf numFmtId="0" fontId="2" fillId="19" borderId="21" xfId="0" applyFont="1" applyFill="1" applyBorder="1" applyAlignment="1">
      <alignment horizontal="center" wrapText="1"/>
    </xf>
    <xf numFmtId="0" fontId="19" fillId="0" borderId="111" xfId="0" quotePrefix="1" applyFont="1" applyBorder="1" applyAlignment="1">
      <alignment horizontal="center" vertical="center"/>
    </xf>
    <xf numFmtId="0" fontId="19" fillId="0" borderId="112" xfId="0" quotePrefix="1" applyFont="1" applyBorder="1" applyAlignment="1">
      <alignment horizontal="center" vertical="center"/>
    </xf>
    <xf numFmtId="0" fontId="2" fillId="0" borderId="111" xfId="0" quotePrefix="1" applyFont="1" applyBorder="1" applyAlignment="1">
      <alignment horizontal="center" vertical="center" textRotation="90" wrapText="1"/>
    </xf>
    <xf numFmtId="0" fontId="2" fillId="0" borderId="113" xfId="0" quotePrefix="1" applyFont="1" applyBorder="1" applyAlignment="1">
      <alignment horizontal="center" vertical="center" textRotation="90" wrapText="1"/>
    </xf>
    <xf numFmtId="0" fontId="2" fillId="0" borderId="112" xfId="0" quotePrefix="1" applyFont="1" applyBorder="1" applyAlignment="1">
      <alignment horizontal="center" vertical="center" textRotation="90"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8" fillId="0" borderId="101" xfId="0" applyFont="1" applyBorder="1" applyAlignment="1">
      <alignment horizontal="center" vertical="center" wrapText="1"/>
    </xf>
    <xf numFmtId="0" fontId="28" fillId="0" borderId="102" xfId="0" applyFont="1" applyBorder="1" applyAlignment="1">
      <alignment horizontal="center" vertical="center" wrapText="1"/>
    </xf>
    <xf numFmtId="0" fontId="28" fillId="0" borderId="103"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119" xfId="0" applyFont="1" applyBorder="1" applyAlignment="1">
      <alignment horizontal="center" vertical="center" wrapText="1"/>
    </xf>
    <xf numFmtId="0" fontId="2" fillId="19" borderId="101" xfId="0" applyFont="1" applyFill="1" applyBorder="1" applyAlignment="1">
      <alignment horizontal="center"/>
    </xf>
    <xf numFmtId="0" fontId="2" fillId="19" borderId="102" xfId="0" applyFont="1" applyFill="1" applyBorder="1" applyAlignment="1">
      <alignment horizontal="center"/>
    </xf>
    <xf numFmtId="0" fontId="2" fillId="19" borderId="103" xfId="0" applyFont="1" applyFill="1" applyBorder="1" applyAlignment="1">
      <alignment horizontal="center"/>
    </xf>
    <xf numFmtId="0" fontId="25" fillId="0" borderId="116" xfId="0" applyFont="1" applyBorder="1" applyAlignment="1">
      <alignment horizontal="center"/>
    </xf>
    <xf numFmtId="0" fontId="25" fillId="0" borderId="117" xfId="0" applyFont="1" applyBorder="1" applyAlignment="1">
      <alignment horizontal="center"/>
    </xf>
    <xf numFmtId="0" fontId="25" fillId="0" borderId="118" xfId="0" applyFont="1" applyBorder="1" applyAlignment="1">
      <alignment horizontal="center"/>
    </xf>
    <xf numFmtId="0" fontId="26" fillId="0" borderId="108" xfId="0" quotePrefix="1" applyFont="1" applyBorder="1" applyAlignment="1">
      <alignment horizontal="center" vertical="center"/>
    </xf>
    <xf numFmtId="0" fontId="26" fillId="0" borderId="109" xfId="0" quotePrefix="1" applyFont="1" applyBorder="1" applyAlignment="1">
      <alignment horizontal="center" vertical="center"/>
    </xf>
    <xf numFmtId="0" fontId="26" fillId="0" borderId="110" xfId="0" quotePrefix="1" applyFont="1" applyBorder="1" applyAlignment="1">
      <alignment horizontal="center" vertical="center"/>
    </xf>
    <xf numFmtId="0" fontId="27" fillId="0" borderId="109" xfId="0" quotePrefix="1" applyFont="1" applyBorder="1" applyAlignment="1">
      <alignment horizontal="center"/>
    </xf>
    <xf numFmtId="0" fontId="27" fillId="0" borderId="110" xfId="0" quotePrefix="1" applyFont="1" applyBorder="1" applyAlignment="1">
      <alignment horizontal="center"/>
    </xf>
    <xf numFmtId="0" fontId="27" fillId="0" borderId="116" xfId="0" quotePrefix="1" applyFont="1" applyBorder="1" applyAlignment="1">
      <alignment horizontal="center"/>
    </xf>
    <xf numFmtId="0" fontId="27" fillId="0" borderId="117" xfId="0" quotePrefix="1" applyFont="1" applyBorder="1" applyAlignment="1">
      <alignment horizontal="center"/>
    </xf>
    <xf numFmtId="0" fontId="27" fillId="0" borderId="118" xfId="0" quotePrefix="1" applyFont="1" applyBorder="1" applyAlignment="1">
      <alignment horizontal="center"/>
    </xf>
    <xf numFmtId="0" fontId="26" fillId="0" borderId="109" xfId="0" quotePrefix="1" applyFont="1" applyBorder="1" applyAlignment="1">
      <alignment horizontal="center"/>
    </xf>
    <xf numFmtId="0" fontId="26" fillId="0" borderId="110" xfId="0" quotePrefix="1" applyFont="1" applyBorder="1" applyAlignment="1">
      <alignment horizontal="center"/>
    </xf>
    <xf numFmtId="0" fontId="0" fillId="0" borderId="114" xfId="0" quotePrefix="1" applyBorder="1" applyAlignment="1">
      <alignment horizontal="center" vertical="center" wrapText="1"/>
    </xf>
    <xf numFmtId="0" fontId="0" fillId="0" borderId="115" xfId="0" applyBorder="1" applyAlignment="1">
      <alignment horizontal="center" vertical="center" wrapText="1"/>
    </xf>
    <xf numFmtId="0" fontId="0" fillId="0" borderId="114" xfId="0" applyBorder="1" applyAlignment="1">
      <alignment horizontal="center" vertical="center"/>
    </xf>
    <xf numFmtId="0" fontId="0" fillId="0" borderId="115" xfId="0" applyBorder="1" applyAlignment="1">
      <alignment horizontal="center" vertical="center"/>
    </xf>
    <xf numFmtId="0" fontId="26" fillId="0" borderId="116" xfId="0" applyFont="1" applyBorder="1" applyAlignment="1">
      <alignment horizontal="center"/>
    </xf>
    <xf numFmtId="0" fontId="26" fillId="0" borderId="117" xfId="0" applyFont="1" applyBorder="1" applyAlignment="1">
      <alignment horizontal="center"/>
    </xf>
    <xf numFmtId="0" fontId="26" fillId="0" borderId="118" xfId="0" applyFont="1" applyBorder="1" applyAlignment="1">
      <alignment horizontal="center"/>
    </xf>
    <xf numFmtId="0" fontId="20" fillId="0" borderId="109" xfId="0" quotePrefix="1" applyFont="1" applyBorder="1" applyAlignment="1">
      <alignment horizontal="center"/>
    </xf>
    <xf numFmtId="0" fontId="20" fillId="0" borderId="110" xfId="0" quotePrefix="1" applyFont="1" applyBorder="1" applyAlignment="1">
      <alignment horizontal="center"/>
    </xf>
    <xf numFmtId="0" fontId="0" fillId="10" borderId="20" xfId="0" applyFill="1" applyBorder="1" applyAlignment="1">
      <alignment horizontal="center" vertical="center" wrapText="1"/>
    </xf>
    <xf numFmtId="0" fontId="0" fillId="10" borderId="33" xfId="0" applyFill="1" applyBorder="1" applyAlignment="1">
      <alignment horizontal="center" vertical="center" wrapText="1"/>
    </xf>
    <xf numFmtId="0" fontId="0" fillId="10" borderId="91" xfId="0" applyFill="1" applyBorder="1" applyAlignment="1">
      <alignment horizontal="center" vertical="center" wrapText="1"/>
    </xf>
    <xf numFmtId="0" fontId="0" fillId="0" borderId="105" xfId="0" applyBorder="1" applyAlignment="1">
      <alignment horizontal="center" vertical="center" wrapText="1"/>
    </xf>
    <xf numFmtId="0" fontId="2" fillId="0" borderId="90" xfId="0" applyFont="1" applyBorder="1" applyAlignment="1">
      <alignment horizontal="left" vertical="center" wrapText="1"/>
    </xf>
    <xf numFmtId="0" fontId="0" fillId="0" borderId="105" xfId="0" applyFont="1" applyBorder="1" applyAlignment="1">
      <alignment horizontal="left" vertical="center" wrapText="1"/>
    </xf>
    <xf numFmtId="0" fontId="2" fillId="0" borderId="106" xfId="0" applyFont="1" applyBorder="1" applyAlignment="1">
      <alignment horizontal="center" vertical="center" wrapText="1"/>
    </xf>
    <xf numFmtId="0" fontId="2" fillId="0" borderId="98" xfId="0" applyFont="1" applyBorder="1" applyAlignment="1">
      <alignment horizontal="center" vertical="center" wrapText="1"/>
    </xf>
    <xf numFmtId="0" fontId="16" fillId="11" borderId="88" xfId="0" applyFont="1" applyFill="1" applyBorder="1" applyAlignment="1">
      <alignment horizontal="center" vertical="center" wrapText="1"/>
    </xf>
    <xf numFmtId="0" fontId="16" fillId="11" borderId="56" xfId="0" applyFont="1" applyFill="1" applyBorder="1" applyAlignment="1">
      <alignment horizontal="center" vertical="center" wrapText="1"/>
    </xf>
    <xf numFmtId="0" fontId="16" fillId="11" borderId="107" xfId="0" applyFont="1" applyFill="1" applyBorder="1" applyAlignment="1">
      <alignment horizontal="center" vertical="center" wrapText="1"/>
    </xf>
    <xf numFmtId="0" fontId="0" fillId="10" borderId="21" xfId="0" applyFill="1" applyBorder="1" applyAlignment="1">
      <alignment horizontal="center" vertical="center" wrapText="1"/>
    </xf>
    <xf numFmtId="0" fontId="2" fillId="0" borderId="90" xfId="0" applyFont="1" applyBorder="1" applyAlignment="1">
      <alignment horizontal="center" vertical="center" wrapText="1"/>
    </xf>
    <xf numFmtId="0" fontId="16" fillId="11" borderId="90" xfId="0" applyFont="1" applyFill="1" applyBorder="1" applyAlignment="1">
      <alignment horizontal="center" vertical="center" wrapText="1"/>
    </xf>
    <xf numFmtId="0" fontId="16" fillId="11" borderId="92" xfId="0" applyFont="1" applyFill="1" applyBorder="1" applyAlignment="1">
      <alignment horizontal="center" vertical="center" wrapText="1"/>
    </xf>
    <xf numFmtId="0" fontId="0" fillId="0" borderId="104" xfId="0" applyBorder="1" applyAlignment="1">
      <alignment horizontal="center" vertical="center" wrapText="1"/>
    </xf>
    <xf numFmtId="0" fontId="0" fillId="0" borderId="88" xfId="0" applyBorder="1" applyAlignment="1">
      <alignment horizontal="center" vertical="center" wrapText="1"/>
    </xf>
    <xf numFmtId="0" fontId="0" fillId="0" borderId="105" xfId="0" applyBorder="1" applyAlignment="1">
      <alignment horizontal="left" wrapText="1"/>
    </xf>
    <xf numFmtId="0" fontId="2" fillId="0" borderId="90" xfId="0" applyFont="1" applyBorder="1" applyAlignment="1">
      <alignment horizontal="center" wrapText="1"/>
    </xf>
    <xf numFmtId="0" fontId="0" fillId="0" borderId="104" xfId="0" applyBorder="1" applyAlignment="1">
      <alignment horizontal="center" wrapText="1"/>
    </xf>
    <xf numFmtId="0" fontId="0" fillId="0" borderId="88" xfId="0" applyBorder="1" applyAlignment="1">
      <alignment horizontal="center" wrapText="1"/>
    </xf>
    <xf numFmtId="0" fontId="0" fillId="0" borderId="105" xfId="0" applyBorder="1" applyAlignment="1">
      <alignment horizontal="center" wrapText="1"/>
    </xf>
    <xf numFmtId="0" fontId="0" fillId="0" borderId="90" xfId="0" applyBorder="1" applyAlignment="1">
      <alignment horizontal="left" wrapText="1"/>
    </xf>
    <xf numFmtId="0" fontId="20" fillId="0" borderId="108" xfId="0" quotePrefix="1" applyFont="1" applyBorder="1" applyAlignment="1">
      <alignment horizontal="center" vertical="center"/>
    </xf>
    <xf numFmtId="0" fontId="20" fillId="0" borderId="109" xfId="0" quotePrefix="1" applyFont="1" applyBorder="1" applyAlignment="1">
      <alignment horizontal="center" vertical="center"/>
    </xf>
    <xf numFmtId="0" fontId="20" fillId="0" borderId="110" xfId="0" quotePrefix="1" applyFont="1" applyBorder="1" applyAlignment="1">
      <alignment horizontal="center" vertical="center"/>
    </xf>
    <xf numFmtId="0" fontId="0" fillId="10" borderId="91" xfId="0" applyFill="1" applyBorder="1" applyAlignment="1">
      <alignment horizontal="center" vertical="center"/>
    </xf>
    <xf numFmtId="0" fontId="0" fillId="0" borderId="90" xfId="0" applyFill="1" applyBorder="1" applyAlignment="1">
      <alignment horizontal="left" vertical="center" wrapText="1"/>
    </xf>
    <xf numFmtId="0" fontId="16" fillId="11" borderId="57" xfId="0" applyFont="1" applyFill="1" applyBorder="1" applyAlignment="1">
      <alignment horizontal="center" vertical="center" wrapText="1"/>
    </xf>
    <xf numFmtId="0" fontId="16" fillId="11" borderId="29" xfId="0" applyFont="1" applyFill="1" applyBorder="1" applyAlignment="1">
      <alignment horizontal="center" vertical="center" wrapText="1"/>
    </xf>
    <xf numFmtId="0" fontId="16" fillId="11" borderId="89" xfId="0" applyFont="1" applyFill="1" applyBorder="1" applyAlignment="1">
      <alignment horizontal="center" vertical="center" wrapText="1"/>
    </xf>
    <xf numFmtId="0" fontId="2" fillId="19" borderId="85" xfId="0" applyFont="1" applyFill="1" applyBorder="1" applyAlignment="1">
      <alignment horizontal="center"/>
    </xf>
    <xf numFmtId="0" fontId="2" fillId="19" borderId="86" xfId="0" applyFont="1" applyFill="1" applyBorder="1" applyAlignment="1">
      <alignment horizontal="center"/>
    </xf>
    <xf numFmtId="0" fontId="2" fillId="19" borderId="87" xfId="0" applyFont="1" applyFill="1" applyBorder="1" applyAlignment="1">
      <alignment horizontal="center"/>
    </xf>
    <xf numFmtId="0" fontId="16" fillId="31" borderId="17" xfId="0" applyFont="1" applyFill="1" applyBorder="1" applyAlignment="1">
      <alignment horizontal="center" vertical="center" textRotation="90" wrapText="1"/>
    </xf>
    <xf numFmtId="0" fontId="16" fillId="10" borderId="17" xfId="0" applyFont="1" applyFill="1" applyBorder="1" applyAlignment="1">
      <alignment horizontal="center" vertical="center" wrapText="1"/>
    </xf>
    <xf numFmtId="0" fontId="2" fillId="19" borderId="85" xfId="0" applyFont="1" applyFill="1" applyBorder="1" applyAlignment="1">
      <alignment horizontal="center" wrapText="1"/>
    </xf>
    <xf numFmtId="0" fontId="2" fillId="19" borderId="86" xfId="0" applyFont="1" applyFill="1" applyBorder="1" applyAlignment="1">
      <alignment horizontal="center" wrapText="1"/>
    </xf>
    <xf numFmtId="0" fontId="2" fillId="19" borderId="87" xfId="0" applyFont="1" applyFill="1" applyBorder="1" applyAlignment="1">
      <alignment horizontal="center" wrapText="1"/>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34" borderId="27" xfId="0" applyFill="1" applyBorder="1" applyAlignment="1">
      <alignment horizontal="center"/>
    </xf>
    <xf numFmtId="0" fontId="0" fillId="34" borderId="28" xfId="0" applyFill="1" applyBorder="1" applyAlignment="1">
      <alignment horizontal="center"/>
    </xf>
    <xf numFmtId="0" fontId="0" fillId="34" borderId="29" xfId="0" applyFill="1" applyBorder="1" applyAlignment="1">
      <alignment horizontal="center"/>
    </xf>
    <xf numFmtId="44" fontId="0" fillId="0" borderId="17" xfId="20" applyFont="1" applyFill="1" applyBorder="1" applyAlignment="1">
      <alignment horizontal="center" vertical="center" wrapText="1"/>
    </xf>
    <xf numFmtId="44" fontId="16" fillId="0" borderId="27" xfId="20" applyFont="1" applyFill="1" applyBorder="1" applyAlignment="1">
      <alignment horizontal="center" vertical="center" wrapText="1"/>
    </xf>
    <xf numFmtId="44" fontId="16" fillId="0" borderId="28" xfId="20" applyFont="1" applyFill="1" applyBorder="1" applyAlignment="1">
      <alignment horizontal="center" vertical="center" wrapText="1"/>
    </xf>
    <xf numFmtId="44" fontId="16" fillId="0" borderId="29" xfId="20" applyFont="1" applyFill="1" applyBorder="1" applyAlignment="1">
      <alignment horizontal="center" vertical="center" wrapText="1"/>
    </xf>
    <xf numFmtId="44" fontId="0" fillId="0" borderId="17" xfId="20" applyFont="1" applyFill="1" applyBorder="1" applyAlignment="1">
      <alignment horizontal="left" vertical="center" wrapText="1"/>
    </xf>
    <xf numFmtId="44" fontId="16" fillId="0" borderId="17" xfId="20" applyFont="1" applyFill="1" applyBorder="1" applyAlignment="1">
      <alignment horizontal="left" vertical="center" wrapText="1"/>
    </xf>
    <xf numFmtId="44" fontId="0" fillId="18" borderId="27" xfId="20" applyFont="1" applyFill="1" applyBorder="1" applyAlignment="1">
      <alignment horizontal="left" vertical="center" wrapText="1"/>
    </xf>
    <xf numFmtId="44" fontId="0" fillId="18" borderId="29" xfId="20" applyFont="1" applyFill="1" applyBorder="1" applyAlignment="1">
      <alignment horizontal="left" vertical="center" wrapText="1"/>
    </xf>
    <xf numFmtId="44" fontId="0" fillId="0" borderId="27" xfId="20" applyFont="1" applyFill="1" applyBorder="1" applyAlignment="1">
      <alignment horizontal="left" vertical="center" wrapText="1"/>
    </xf>
    <xf numFmtId="44" fontId="0" fillId="0" borderId="28" xfId="20" applyFont="1" applyFill="1" applyBorder="1" applyAlignment="1">
      <alignment horizontal="left" vertical="center" wrapText="1"/>
    </xf>
    <xf numFmtId="44" fontId="0" fillId="0" borderId="29" xfId="20" applyFont="1" applyFill="1" applyBorder="1" applyAlignment="1">
      <alignment horizontal="left" vertical="center" wrapText="1"/>
    </xf>
    <xf numFmtId="44" fontId="16" fillId="11" borderId="17" xfId="20" applyFont="1" applyFill="1" applyBorder="1" applyAlignment="1">
      <alignment horizontal="center" vertical="center" wrapText="1"/>
    </xf>
    <xf numFmtId="44" fontId="16" fillId="18" borderId="27" xfId="20" applyFont="1" applyFill="1" applyBorder="1" applyAlignment="1">
      <alignment horizontal="left" vertical="center" wrapText="1"/>
    </xf>
    <xf numFmtId="44" fontId="16" fillId="18" borderId="28" xfId="20" applyFont="1" applyFill="1" applyBorder="1" applyAlignment="1">
      <alignment horizontal="left" vertical="center" wrapText="1"/>
    </xf>
    <xf numFmtId="44" fontId="16" fillId="18" borderId="29" xfId="20" applyFont="1" applyFill="1" applyBorder="1" applyAlignment="1">
      <alignment horizontal="left" vertical="center" wrapText="1"/>
    </xf>
    <xf numFmtId="0" fontId="0" fillId="23" borderId="17" xfId="0" applyFill="1" applyBorder="1" applyAlignment="1">
      <alignment horizontal="center" vertical="center" wrapText="1"/>
    </xf>
    <xf numFmtId="0" fontId="0" fillId="24" borderId="17" xfId="0" applyFill="1" applyBorder="1" applyAlignment="1">
      <alignment horizontal="center" vertical="center" wrapText="1"/>
    </xf>
    <xf numFmtId="0" fontId="16" fillId="25" borderId="17" xfId="0" applyFont="1" applyFill="1" applyBorder="1" applyAlignment="1">
      <alignment horizontal="center" vertical="center" wrapText="1"/>
    </xf>
    <xf numFmtId="0" fontId="2" fillId="22" borderId="17" xfId="0" applyFont="1" applyFill="1" applyBorder="1" applyAlignment="1">
      <alignment horizontal="center" vertical="center" wrapText="1"/>
    </xf>
    <xf numFmtId="0" fontId="2" fillId="22" borderId="27" xfId="0" applyFont="1" applyFill="1" applyBorder="1" applyAlignment="1">
      <alignment horizontal="center" vertical="center" wrapText="1"/>
    </xf>
    <xf numFmtId="0" fontId="2" fillId="21" borderId="17" xfId="0" applyFont="1" applyFill="1" applyBorder="1" applyAlignment="1">
      <alignment horizontal="center" vertical="center" wrapText="1"/>
    </xf>
    <xf numFmtId="0" fontId="2" fillId="21" borderId="27" xfId="0" applyFont="1" applyFill="1" applyBorder="1" applyAlignment="1">
      <alignment horizontal="center" vertical="center" wrapText="1"/>
    </xf>
    <xf numFmtId="0" fontId="0" fillId="25" borderId="17" xfId="0" applyFill="1" applyBorder="1" applyAlignment="1">
      <alignment horizontal="center" vertical="center" wrapText="1"/>
    </xf>
    <xf numFmtId="0" fontId="0" fillId="0" borderId="20" xfId="0" applyBorder="1" applyAlignment="1">
      <alignment horizontal="center"/>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3" fillId="16" borderId="30" xfId="0" applyFont="1" applyFill="1" applyBorder="1" applyAlignment="1">
      <alignment horizontal="center" vertical="center" wrapText="1"/>
    </xf>
    <xf numFmtId="0" fontId="3" fillId="16" borderId="74"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0" xfId="0" applyFont="1" applyFill="1" applyBorder="1" applyAlignment="1">
      <alignment horizontal="center" vertical="center" wrapText="1"/>
    </xf>
    <xf numFmtId="0" fontId="0" fillId="24" borderId="31" xfId="0" applyFill="1" applyBorder="1" applyAlignment="1">
      <alignment horizontal="center"/>
    </xf>
    <xf numFmtId="0" fontId="0" fillId="24" borderId="0" xfId="0" applyFill="1" applyAlignment="1">
      <alignment horizontal="center"/>
    </xf>
    <xf numFmtId="9" fontId="0" fillId="32" borderId="60" xfId="22" applyFont="1" applyFill="1" applyBorder="1" applyAlignment="1">
      <alignment horizontal="center" vertical="center"/>
    </xf>
    <xf numFmtId="9" fontId="0" fillId="32" borderId="57" xfId="22" applyFont="1" applyFill="1" applyBorder="1" applyAlignment="1">
      <alignment horizontal="center" vertical="center"/>
    </xf>
    <xf numFmtId="9" fontId="0" fillId="32" borderId="27" xfId="22" applyFont="1" applyFill="1" applyBorder="1" applyAlignment="1">
      <alignment horizontal="center" vertical="center"/>
    </xf>
    <xf numFmtId="9" fontId="0" fillId="32" borderId="29" xfId="22" applyFont="1" applyFill="1" applyBorder="1" applyAlignment="1">
      <alignment horizontal="center" vertical="center"/>
    </xf>
    <xf numFmtId="0" fontId="0" fillId="32" borderId="60" xfId="0" applyFill="1" applyBorder="1" applyAlignment="1">
      <alignment horizontal="center" vertical="center"/>
    </xf>
    <xf numFmtId="0" fontId="0" fillId="32" borderId="57" xfId="0" applyFill="1" applyBorder="1" applyAlignment="1">
      <alignment horizontal="center" vertical="center"/>
    </xf>
    <xf numFmtId="0" fontId="0" fillId="32" borderId="27" xfId="0" applyFill="1" applyBorder="1" applyAlignment="1">
      <alignment horizontal="center" vertical="center"/>
    </xf>
    <xf numFmtId="0" fontId="0" fillId="32" borderId="29" xfId="0" applyFill="1" applyBorder="1" applyAlignment="1">
      <alignment horizontal="center" vertical="center"/>
    </xf>
    <xf numFmtId="0" fontId="17" fillId="24" borderId="17" xfId="0" applyFont="1" applyFill="1" applyBorder="1" applyAlignment="1">
      <alignment horizontal="center" wrapText="1"/>
    </xf>
    <xf numFmtId="0" fontId="16" fillId="25" borderId="17" xfId="0" applyFont="1" applyFill="1" applyBorder="1" applyAlignment="1">
      <alignment horizontal="center" wrapText="1"/>
    </xf>
    <xf numFmtId="43" fontId="0" fillId="32" borderId="60" xfId="21" applyFont="1" applyFill="1" applyBorder="1" applyAlignment="1">
      <alignment horizontal="center" vertical="center"/>
    </xf>
    <xf numFmtId="43" fontId="0" fillId="32" borderId="57" xfId="21" applyFont="1" applyFill="1" applyBorder="1" applyAlignment="1">
      <alignment horizontal="center" vertical="center"/>
    </xf>
    <xf numFmtId="43" fontId="0" fillId="32" borderId="27" xfId="21" applyFont="1" applyFill="1" applyBorder="1" applyAlignment="1">
      <alignment horizontal="center" vertical="center"/>
    </xf>
    <xf numFmtId="43" fontId="0" fillId="32" borderId="29" xfId="21" applyFont="1" applyFill="1" applyBorder="1" applyAlignment="1">
      <alignment horizontal="center" vertical="center"/>
    </xf>
    <xf numFmtId="10" fontId="0" fillId="0" borderId="17" xfId="22" applyNumberFormat="1" applyFont="1" applyBorder="1" applyAlignment="1">
      <alignment horizontal="center" vertical="center"/>
    </xf>
    <xf numFmtId="44" fontId="0" fillId="0" borderId="17" xfId="20" applyFont="1" applyBorder="1" applyAlignment="1">
      <alignment horizontal="center" vertical="center"/>
    </xf>
    <xf numFmtId="2" fontId="0" fillId="0" borderId="17" xfId="0" applyNumberFormat="1" applyBorder="1" applyAlignment="1">
      <alignment horizontal="center" vertical="center"/>
    </xf>
  </cellXfs>
  <cellStyles count="23">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xfId="10" xr:uid="{00000000-0005-0000-0000-000008000000}"/>
    <cellStyle name="Heading 1" xfId="11" xr:uid="{00000000-0005-0000-0000-000009000000}"/>
    <cellStyle name="Heading 2" xfId="12" xr:uid="{00000000-0005-0000-0000-00000A000000}"/>
    <cellStyle name="Hyperlink" xfId="13" xr:uid="{00000000-0005-0000-0000-00000B000000}"/>
    <cellStyle name="Milliers" xfId="21" builtinId="3"/>
    <cellStyle name="Monétaire" xfId="20" builtinId="4"/>
    <cellStyle name="Neutral" xfId="14" xr:uid="{00000000-0005-0000-0000-00000D000000}"/>
    <cellStyle name="Normal" xfId="0" builtinId="0" customBuiltin="1"/>
    <cellStyle name="Normal 2" xfId="15" xr:uid="{00000000-0005-0000-0000-00000F000000}"/>
    <cellStyle name="Note" xfId="1" builtinId="10" customBuiltin="1"/>
    <cellStyle name="Pourcentage" xfId="22" builtinId="5"/>
    <cellStyle name="Result" xfId="16" xr:uid="{00000000-0005-0000-0000-000011000000}"/>
    <cellStyle name="Status" xfId="17" xr:uid="{00000000-0005-0000-0000-000012000000}"/>
    <cellStyle name="Text" xfId="18" xr:uid="{00000000-0005-0000-0000-000013000000}"/>
    <cellStyle name="Warning" xfId="19" xr:uid="{00000000-0005-0000-0000-00001400000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Détermination graphique du SR à partir du CA et du coût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Coûts_partiels!$I$5</c:f>
              <c:strCache>
                <c:ptCount val="1"/>
                <c:pt idx="0">
                  <c:v>Chiffre d'affaires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Coûts_partiels!$J$3:$K$3</c:f>
              <c:strCache>
                <c:ptCount val="2"/>
                <c:pt idx="0">
                  <c:v>01/01/2023</c:v>
                </c:pt>
                <c:pt idx="1">
                  <c:v>31/12/2023</c:v>
                </c:pt>
              </c:strCache>
            </c:strRef>
          </c:cat>
          <c:val>
            <c:numRef>
              <c:f>Coûts_partiels!$J$5:$K$5</c:f>
              <c:numCache>
                <c:formatCode>_("€"* #,##0.00_);_("€"* \(#,##0.00\);_("€"* "-"??_);_(@_)</c:formatCode>
                <c:ptCount val="2"/>
                <c:pt idx="0">
                  <c:v>0</c:v>
                </c:pt>
                <c:pt idx="1">
                  <c:v>705250</c:v>
                </c:pt>
              </c:numCache>
            </c:numRef>
          </c:val>
          <c:smooth val="0"/>
          <c:extLst>
            <c:ext xmlns:c16="http://schemas.microsoft.com/office/drawing/2014/chart" uri="{C3380CC4-5D6E-409C-BE32-E72D297353CC}">
              <c16:uniqueId val="{00000000-F870-4F56-AB56-C4A2B1DEFB63}"/>
            </c:ext>
          </c:extLst>
        </c:ser>
        <c:ser>
          <c:idx val="3"/>
          <c:order val="3"/>
          <c:tx>
            <c:strRef>
              <c:f>Coûts_partiels!$I$8</c:f>
              <c:strCache>
                <c:ptCount val="1"/>
                <c:pt idx="0">
                  <c:v>Total des coûts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Coûts_partiels!$J$3:$K$3</c:f>
              <c:strCache>
                <c:ptCount val="2"/>
                <c:pt idx="0">
                  <c:v>01/01/2023</c:v>
                </c:pt>
                <c:pt idx="1">
                  <c:v>31/12/2023</c:v>
                </c:pt>
              </c:strCache>
            </c:strRef>
          </c:cat>
          <c:val>
            <c:numRef>
              <c:f>Coûts_partiels!$J$8:$K$8</c:f>
              <c:numCache>
                <c:formatCode>_("€"* #,##0.00_);_("€"* \(#,##0.00\);_("€"* "-"??_);_(@_)</c:formatCode>
                <c:ptCount val="2"/>
                <c:pt idx="0">
                  <c:v>509627</c:v>
                </c:pt>
                <c:pt idx="1">
                  <c:v>644795</c:v>
                </c:pt>
              </c:numCache>
            </c:numRef>
          </c:val>
          <c:smooth val="0"/>
          <c:extLst>
            <c:ext xmlns:c16="http://schemas.microsoft.com/office/drawing/2014/chart" uri="{C3380CC4-5D6E-409C-BE32-E72D297353CC}">
              <c16:uniqueId val="{00000003-F870-4F56-AB56-C4A2B1DEFB63}"/>
            </c:ext>
          </c:extLst>
        </c:ser>
        <c:dLbls>
          <c:showLegendKey val="0"/>
          <c:showVal val="0"/>
          <c:showCatName val="0"/>
          <c:showSerName val="0"/>
          <c:showPercent val="0"/>
          <c:showBubbleSize val="0"/>
        </c:dLbls>
        <c:marker val="1"/>
        <c:smooth val="0"/>
        <c:axId val="1148137167"/>
        <c:axId val="962528863"/>
        <c:extLst>
          <c:ext xmlns:c15="http://schemas.microsoft.com/office/drawing/2012/chart" uri="{02D57815-91ED-43cb-92C2-25804820EDAC}">
            <c15:filteredLineSeries>
              <c15:ser>
                <c:idx val="1"/>
                <c:order val="1"/>
                <c:tx>
                  <c:strRef>
                    <c:extLst>
                      <c:ext uri="{02D57815-91ED-43cb-92C2-25804820EDAC}">
                        <c15:formulaRef>
                          <c15:sqref>Coûts_partiels!$I$6</c15:sqref>
                        </c15:formulaRef>
                      </c:ext>
                    </c:extLst>
                    <c:strCache>
                      <c:ptCount val="1"/>
                      <c:pt idx="0">
                        <c:v>Coûts fixes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Coûts_partiels!$J$3:$K$3</c15:sqref>
                        </c15:formulaRef>
                      </c:ext>
                    </c:extLst>
                    <c:strCache>
                      <c:ptCount val="2"/>
                      <c:pt idx="0">
                        <c:v>01/01/2023</c:v>
                      </c:pt>
                      <c:pt idx="1">
                        <c:v>31/12/2023</c:v>
                      </c:pt>
                    </c:strCache>
                  </c:strRef>
                </c:cat>
                <c:val>
                  <c:numRef>
                    <c:extLst>
                      <c:ext uri="{02D57815-91ED-43cb-92C2-25804820EDAC}">
                        <c15:formulaRef>
                          <c15:sqref>Coûts_partiels!$J$6:$K$6</c15:sqref>
                        </c15:formulaRef>
                      </c:ext>
                    </c:extLst>
                    <c:numCache>
                      <c:formatCode>_("€"* #,##0.00_);_("€"* \(#,##0.00\);_("€"* "-"??_);_(@_)</c:formatCode>
                      <c:ptCount val="2"/>
                      <c:pt idx="0">
                        <c:v>509627</c:v>
                      </c:pt>
                      <c:pt idx="1">
                        <c:v>509627</c:v>
                      </c:pt>
                    </c:numCache>
                  </c:numRef>
                </c:val>
                <c:smooth val="0"/>
                <c:extLst>
                  <c:ext xmlns:c16="http://schemas.microsoft.com/office/drawing/2014/chart" uri="{C3380CC4-5D6E-409C-BE32-E72D297353CC}">
                    <c16:uniqueId val="{00000001-F870-4F56-AB56-C4A2B1DEFB63}"/>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Coûts_partiels!$I$7</c15:sqref>
                        </c15:formulaRef>
                      </c:ext>
                    </c:extLst>
                    <c:strCache>
                      <c:ptCount val="1"/>
                      <c:pt idx="0">
                        <c:v>Coûts variables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Coûts_partiels!$J$3:$K$3</c15:sqref>
                        </c15:formulaRef>
                      </c:ext>
                    </c:extLst>
                    <c:strCache>
                      <c:ptCount val="2"/>
                      <c:pt idx="0">
                        <c:v>01/01/2023</c:v>
                      </c:pt>
                      <c:pt idx="1">
                        <c:v>31/12/2023</c:v>
                      </c:pt>
                    </c:strCache>
                  </c:strRef>
                </c:cat>
                <c:val>
                  <c:numRef>
                    <c:extLst xmlns:c15="http://schemas.microsoft.com/office/drawing/2012/chart">
                      <c:ext xmlns:c15="http://schemas.microsoft.com/office/drawing/2012/chart" uri="{02D57815-91ED-43cb-92C2-25804820EDAC}">
                        <c15:formulaRef>
                          <c15:sqref>Coûts_partiels!$J$7:$K$7</c15:sqref>
                        </c15:formulaRef>
                      </c:ext>
                    </c:extLst>
                    <c:numCache>
                      <c:formatCode>_("€"* #,##0.00_);_("€"* \(#,##0.00\);_("€"* "-"??_);_(@_)</c:formatCode>
                      <c:ptCount val="2"/>
                      <c:pt idx="0">
                        <c:v>0</c:v>
                      </c:pt>
                      <c:pt idx="1">
                        <c:v>135168</c:v>
                      </c:pt>
                    </c:numCache>
                  </c:numRef>
                </c:val>
                <c:smooth val="0"/>
                <c:extLst xmlns:c15="http://schemas.microsoft.com/office/drawing/2012/chart">
                  <c:ext xmlns:c16="http://schemas.microsoft.com/office/drawing/2014/chart" uri="{C3380CC4-5D6E-409C-BE32-E72D297353CC}">
                    <c16:uniqueId val="{00000002-F870-4F56-AB56-C4A2B1DEFB63}"/>
                  </c:ext>
                </c:extLst>
              </c15:ser>
            </c15:filteredLineSeries>
          </c:ext>
        </c:extLst>
      </c:lineChart>
      <c:catAx>
        <c:axId val="1148137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2528863"/>
        <c:crosses val="autoZero"/>
        <c:auto val="1"/>
        <c:lblAlgn val="ctr"/>
        <c:lblOffset val="100"/>
        <c:noMultiLvlLbl val="0"/>
      </c:catAx>
      <c:valAx>
        <c:axId val="96252886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813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Détermination graphique du SR à partir des</a:t>
            </a:r>
            <a:r>
              <a:rPr lang="fr-FR" baseline="0"/>
              <a:t> coûts fixes et de la marge sur coût variable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1"/>
          <c:tx>
            <c:strRef>
              <c:f>Coûts_partiels!$I$6</c:f>
              <c:strCache>
                <c:ptCount val="1"/>
                <c:pt idx="0">
                  <c:v>Coûts fixes</c:v>
                </c:pt>
              </c:strCache>
              <c:extLst xmlns:c15="http://schemas.microsoft.com/office/drawing/2012/chart"/>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Coûts_partiels!$J$3:$K$3</c:f>
              <c:strCache>
                <c:ptCount val="2"/>
                <c:pt idx="0">
                  <c:v>01/01/2023</c:v>
                </c:pt>
                <c:pt idx="1">
                  <c:v>31/12/2023</c:v>
                </c:pt>
              </c:strCache>
              <c:extLst xmlns:c15="http://schemas.microsoft.com/office/drawing/2012/chart"/>
            </c:strRef>
          </c:cat>
          <c:val>
            <c:numRef>
              <c:f>Coûts_partiels!$J$6:$K$6</c:f>
              <c:numCache>
                <c:formatCode>_("€"* #,##0.00_);_("€"* \(#,##0.00\);_("€"* "-"??_);_(@_)</c:formatCode>
                <c:ptCount val="2"/>
                <c:pt idx="0">
                  <c:v>509627</c:v>
                </c:pt>
                <c:pt idx="1">
                  <c:v>509627</c:v>
                </c:pt>
              </c:numCache>
              <c:extLst xmlns:c15="http://schemas.microsoft.com/office/drawing/2012/chart"/>
            </c:numRef>
          </c:val>
          <c:smooth val="0"/>
          <c:extLst>
            <c:ext xmlns:c16="http://schemas.microsoft.com/office/drawing/2014/chart" uri="{C3380CC4-5D6E-409C-BE32-E72D297353CC}">
              <c16:uniqueId val="{00000002-1DAA-440B-85FD-AFE9162DFCD0}"/>
            </c:ext>
          </c:extLst>
        </c:ser>
        <c:ser>
          <c:idx val="4"/>
          <c:order val="4"/>
          <c:tx>
            <c:strRef>
              <c:f>Coûts_partiels!$I$9</c:f>
              <c:strCache>
                <c:ptCount val="1"/>
                <c:pt idx="0">
                  <c:v>Marge sur coût variable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Coûts_partiels!$J$9:$K$9</c:f>
              <c:numCache>
                <c:formatCode>_("€"* #,##0.00_);_("€"* \(#,##0.00\);_("€"* "-"??_);_(@_)</c:formatCode>
                <c:ptCount val="2"/>
                <c:pt idx="0">
                  <c:v>0</c:v>
                </c:pt>
                <c:pt idx="1">
                  <c:v>570082</c:v>
                </c:pt>
              </c:numCache>
            </c:numRef>
          </c:val>
          <c:smooth val="0"/>
          <c:extLst>
            <c:ext xmlns:c16="http://schemas.microsoft.com/office/drawing/2014/chart" uri="{C3380CC4-5D6E-409C-BE32-E72D297353CC}">
              <c16:uniqueId val="{00000004-1DAA-440B-85FD-AFE9162DFCD0}"/>
            </c:ext>
          </c:extLst>
        </c:ser>
        <c:dLbls>
          <c:showLegendKey val="0"/>
          <c:showVal val="0"/>
          <c:showCatName val="0"/>
          <c:showSerName val="0"/>
          <c:showPercent val="0"/>
          <c:showBubbleSize val="0"/>
        </c:dLbls>
        <c:marker val="1"/>
        <c:smooth val="0"/>
        <c:axId val="1148137167"/>
        <c:axId val="962528863"/>
        <c:extLst>
          <c:ext xmlns:c15="http://schemas.microsoft.com/office/drawing/2012/chart" uri="{02D57815-91ED-43cb-92C2-25804820EDAC}">
            <c15:filteredLineSeries>
              <c15:ser>
                <c:idx val="0"/>
                <c:order val="0"/>
                <c:tx>
                  <c:strRef>
                    <c:extLst>
                      <c:ext uri="{02D57815-91ED-43cb-92C2-25804820EDAC}">
                        <c15:formulaRef>
                          <c15:sqref>Coûts_partiels!$I$5</c15:sqref>
                        </c15:formulaRef>
                      </c:ext>
                    </c:extLst>
                    <c:strCache>
                      <c:ptCount val="1"/>
                      <c:pt idx="0">
                        <c:v>Chiffre d'affaires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Coûts_partiels!$J$3:$K$3</c15:sqref>
                        </c15:formulaRef>
                      </c:ext>
                    </c:extLst>
                    <c:strCache>
                      <c:ptCount val="2"/>
                      <c:pt idx="0">
                        <c:v>01/01/2023</c:v>
                      </c:pt>
                      <c:pt idx="1">
                        <c:v>31/12/2023</c:v>
                      </c:pt>
                    </c:strCache>
                  </c:strRef>
                </c:cat>
                <c:val>
                  <c:numRef>
                    <c:extLst>
                      <c:ext uri="{02D57815-91ED-43cb-92C2-25804820EDAC}">
                        <c15:formulaRef>
                          <c15:sqref>Coûts_partiels!$J$5:$K$5</c15:sqref>
                        </c15:formulaRef>
                      </c:ext>
                    </c:extLst>
                    <c:numCache>
                      <c:formatCode>_("€"* #,##0.00_);_("€"* \(#,##0.00\);_("€"* "-"??_);_(@_)</c:formatCode>
                      <c:ptCount val="2"/>
                      <c:pt idx="0">
                        <c:v>0</c:v>
                      </c:pt>
                      <c:pt idx="1">
                        <c:v>705250</c:v>
                      </c:pt>
                    </c:numCache>
                  </c:numRef>
                </c:val>
                <c:smooth val="0"/>
                <c:extLst>
                  <c:ext xmlns:c16="http://schemas.microsoft.com/office/drawing/2014/chart" uri="{C3380CC4-5D6E-409C-BE32-E72D297353CC}">
                    <c16:uniqueId val="{00000000-1DAA-440B-85FD-AFE9162DFCD0}"/>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Coûts_partiels!$I$7</c15:sqref>
                        </c15:formulaRef>
                      </c:ext>
                    </c:extLst>
                    <c:strCache>
                      <c:ptCount val="1"/>
                      <c:pt idx="0">
                        <c:v>Coûts variables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Coûts_partiels!$J$3:$K$3</c15:sqref>
                        </c15:formulaRef>
                      </c:ext>
                    </c:extLst>
                    <c:strCache>
                      <c:ptCount val="2"/>
                      <c:pt idx="0">
                        <c:v>01/01/2023</c:v>
                      </c:pt>
                      <c:pt idx="1">
                        <c:v>31/12/2023</c:v>
                      </c:pt>
                    </c:strCache>
                  </c:strRef>
                </c:cat>
                <c:val>
                  <c:numRef>
                    <c:extLst xmlns:c15="http://schemas.microsoft.com/office/drawing/2012/chart">
                      <c:ext xmlns:c15="http://schemas.microsoft.com/office/drawing/2012/chart" uri="{02D57815-91ED-43cb-92C2-25804820EDAC}">
                        <c15:formulaRef>
                          <c15:sqref>Coûts_partiels!$J$7:$K$7</c15:sqref>
                        </c15:formulaRef>
                      </c:ext>
                    </c:extLst>
                    <c:numCache>
                      <c:formatCode>_("€"* #,##0.00_);_("€"* \(#,##0.00\);_("€"* "-"??_);_(@_)</c:formatCode>
                      <c:ptCount val="2"/>
                      <c:pt idx="0">
                        <c:v>0</c:v>
                      </c:pt>
                      <c:pt idx="1">
                        <c:v>135168</c:v>
                      </c:pt>
                    </c:numCache>
                  </c:numRef>
                </c:val>
                <c:smooth val="0"/>
                <c:extLst xmlns:c15="http://schemas.microsoft.com/office/drawing/2012/chart">
                  <c:ext xmlns:c16="http://schemas.microsoft.com/office/drawing/2014/chart" uri="{C3380CC4-5D6E-409C-BE32-E72D297353CC}">
                    <c16:uniqueId val="{00000003-1DAA-440B-85FD-AFE9162DFCD0}"/>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Coûts_partiels!$I$8</c15:sqref>
                        </c15:formulaRef>
                      </c:ext>
                    </c:extLst>
                    <c:strCache>
                      <c:ptCount val="1"/>
                      <c:pt idx="0">
                        <c:v>Total des coûts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xmlns:c15="http://schemas.microsoft.com/office/drawing/2012/chart">
                      <c:ext xmlns:c15="http://schemas.microsoft.com/office/drawing/2012/chart" uri="{02D57815-91ED-43cb-92C2-25804820EDAC}">
                        <c15:formulaRef>
                          <c15:sqref>Coûts_partiels!$J$3:$K$3</c15:sqref>
                        </c15:formulaRef>
                      </c:ext>
                    </c:extLst>
                    <c:strCache>
                      <c:ptCount val="2"/>
                      <c:pt idx="0">
                        <c:v>01/01/2023</c:v>
                      </c:pt>
                      <c:pt idx="1">
                        <c:v>31/12/2023</c:v>
                      </c:pt>
                    </c:strCache>
                  </c:strRef>
                </c:cat>
                <c:val>
                  <c:numRef>
                    <c:extLst xmlns:c15="http://schemas.microsoft.com/office/drawing/2012/chart">
                      <c:ext xmlns:c15="http://schemas.microsoft.com/office/drawing/2012/chart" uri="{02D57815-91ED-43cb-92C2-25804820EDAC}">
                        <c15:formulaRef>
                          <c15:sqref>Coûts_partiels!$J$8:$K$8</c15:sqref>
                        </c15:formulaRef>
                      </c:ext>
                    </c:extLst>
                    <c:numCache>
                      <c:formatCode>_("€"* #,##0.00_);_("€"* \(#,##0.00\);_("€"* "-"??_);_(@_)</c:formatCode>
                      <c:ptCount val="2"/>
                      <c:pt idx="0">
                        <c:v>509627</c:v>
                      </c:pt>
                      <c:pt idx="1">
                        <c:v>644795</c:v>
                      </c:pt>
                    </c:numCache>
                  </c:numRef>
                </c:val>
                <c:smooth val="0"/>
                <c:extLst xmlns:c15="http://schemas.microsoft.com/office/drawing/2012/chart">
                  <c:ext xmlns:c16="http://schemas.microsoft.com/office/drawing/2014/chart" uri="{C3380CC4-5D6E-409C-BE32-E72D297353CC}">
                    <c16:uniqueId val="{00000001-1DAA-440B-85FD-AFE9162DFCD0}"/>
                  </c:ext>
                </c:extLst>
              </c15:ser>
            </c15:filteredLineSeries>
          </c:ext>
        </c:extLst>
      </c:lineChart>
      <c:catAx>
        <c:axId val="1148137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2528863"/>
        <c:crosses val="autoZero"/>
        <c:auto val="1"/>
        <c:lblAlgn val="ctr"/>
        <c:lblOffset val="100"/>
        <c:noMultiLvlLbl val="0"/>
      </c:catAx>
      <c:valAx>
        <c:axId val="96252886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813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Détermination graphique du SR à partir du résultat analytique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5"/>
          <c:order val="5"/>
          <c:tx>
            <c:strRef>
              <c:f>Coûts_partiels!$I$10</c:f>
              <c:strCache>
                <c:ptCount val="1"/>
                <c:pt idx="0">
                  <c:v>Résultat analytique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Coûts_partiels!$J$3:$K$3</c:f>
              <c:strCache>
                <c:ptCount val="2"/>
                <c:pt idx="0">
                  <c:v>01/01/2023</c:v>
                </c:pt>
                <c:pt idx="1">
                  <c:v>31/12/2023</c:v>
                </c:pt>
              </c:strCache>
            </c:strRef>
          </c:cat>
          <c:val>
            <c:numRef>
              <c:f>Coûts_partiels!$J$10:$K$10</c:f>
              <c:numCache>
                <c:formatCode>_("€"* #,##0.00_);_("€"* \(#,##0.00\);_("€"* "-"??_);_(@_)</c:formatCode>
                <c:ptCount val="2"/>
                <c:pt idx="0">
                  <c:v>-509627</c:v>
                </c:pt>
                <c:pt idx="1">
                  <c:v>60455</c:v>
                </c:pt>
              </c:numCache>
            </c:numRef>
          </c:val>
          <c:smooth val="0"/>
          <c:extLst>
            <c:ext xmlns:c16="http://schemas.microsoft.com/office/drawing/2014/chart" uri="{C3380CC4-5D6E-409C-BE32-E72D297353CC}">
              <c16:uniqueId val="{00000005-4AF6-4DC0-AB4A-9A0D3361F543}"/>
            </c:ext>
          </c:extLst>
        </c:ser>
        <c:ser>
          <c:idx val="6"/>
          <c:order val="6"/>
          <c:tx>
            <c:strRef>
              <c:f>Coûts_partiels!$I$4</c:f>
              <c:strCache>
                <c:ptCount val="1"/>
                <c:pt idx="0">
                  <c:v>Axe abscisses</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Coûts_partiels!$J$3:$K$3</c:f>
              <c:strCache>
                <c:ptCount val="2"/>
                <c:pt idx="0">
                  <c:v>01/01/2023</c:v>
                </c:pt>
                <c:pt idx="1">
                  <c:v>31/12/2023</c:v>
                </c:pt>
              </c:strCache>
            </c:strRef>
          </c:cat>
          <c:val>
            <c:numRef>
              <c:f>Coûts_partiels!$J$4:$K$4</c:f>
              <c:numCache>
                <c:formatCode>General</c:formatCode>
                <c:ptCount val="2"/>
                <c:pt idx="0">
                  <c:v>0</c:v>
                </c:pt>
                <c:pt idx="1">
                  <c:v>0</c:v>
                </c:pt>
              </c:numCache>
            </c:numRef>
          </c:val>
          <c:smooth val="0"/>
          <c:extLst>
            <c:ext xmlns:c16="http://schemas.microsoft.com/office/drawing/2014/chart" uri="{C3380CC4-5D6E-409C-BE32-E72D297353CC}">
              <c16:uniqueId val="{00000006-4AF6-4DC0-AB4A-9A0D3361F543}"/>
            </c:ext>
          </c:extLst>
        </c:ser>
        <c:dLbls>
          <c:showLegendKey val="0"/>
          <c:showVal val="0"/>
          <c:showCatName val="0"/>
          <c:showSerName val="0"/>
          <c:showPercent val="0"/>
          <c:showBubbleSize val="0"/>
        </c:dLbls>
        <c:marker val="1"/>
        <c:smooth val="0"/>
        <c:axId val="1148137167"/>
        <c:axId val="962528863"/>
        <c:extLst>
          <c:ext xmlns:c15="http://schemas.microsoft.com/office/drawing/2012/chart" uri="{02D57815-91ED-43cb-92C2-25804820EDAC}">
            <c15:filteredLineSeries>
              <c15:ser>
                <c:idx val="0"/>
                <c:order val="0"/>
                <c:tx>
                  <c:strRef>
                    <c:extLst>
                      <c:ext uri="{02D57815-91ED-43cb-92C2-25804820EDAC}">
                        <c15:formulaRef>
                          <c15:sqref>Coûts_partiels!$I$5</c15:sqref>
                        </c15:formulaRef>
                      </c:ext>
                    </c:extLst>
                    <c:strCache>
                      <c:ptCount val="1"/>
                      <c:pt idx="0">
                        <c:v>Chiffre d'affaires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Coûts_partiels!$J$3:$K$3</c15:sqref>
                        </c15:formulaRef>
                      </c:ext>
                    </c:extLst>
                    <c:strCache>
                      <c:ptCount val="2"/>
                      <c:pt idx="0">
                        <c:v>01/01/2023</c:v>
                      </c:pt>
                      <c:pt idx="1">
                        <c:v>31/12/2023</c:v>
                      </c:pt>
                    </c:strCache>
                  </c:strRef>
                </c:cat>
                <c:val>
                  <c:numRef>
                    <c:extLst>
                      <c:ext uri="{02D57815-91ED-43cb-92C2-25804820EDAC}">
                        <c15:formulaRef>
                          <c15:sqref>Coûts_partiels!$J$5:$K$5</c15:sqref>
                        </c15:formulaRef>
                      </c:ext>
                    </c:extLst>
                    <c:numCache>
                      <c:formatCode>_("€"* #,##0.00_);_("€"* \(#,##0.00\);_("€"* "-"??_);_(@_)</c:formatCode>
                      <c:ptCount val="2"/>
                      <c:pt idx="0">
                        <c:v>0</c:v>
                      </c:pt>
                      <c:pt idx="1">
                        <c:v>705250</c:v>
                      </c:pt>
                    </c:numCache>
                  </c:numRef>
                </c:val>
                <c:smooth val="0"/>
                <c:extLst>
                  <c:ext xmlns:c16="http://schemas.microsoft.com/office/drawing/2014/chart" uri="{C3380CC4-5D6E-409C-BE32-E72D297353CC}">
                    <c16:uniqueId val="{00000002-4AF6-4DC0-AB4A-9A0D3361F543}"/>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Coûts_partiels!$I$6</c15:sqref>
                        </c15:formulaRef>
                      </c:ext>
                    </c:extLst>
                    <c:strCache>
                      <c:ptCount val="1"/>
                      <c:pt idx="0">
                        <c:v>Coûts fixes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5="http://schemas.microsoft.com/office/drawing/2012/chart">
                      <c:ext xmlns:c15="http://schemas.microsoft.com/office/drawing/2012/chart" uri="{02D57815-91ED-43cb-92C2-25804820EDAC}">
                        <c15:formulaRef>
                          <c15:sqref>Coûts_partiels!$J$3:$K$3</c15:sqref>
                        </c15:formulaRef>
                      </c:ext>
                    </c:extLst>
                    <c:strCache>
                      <c:ptCount val="2"/>
                      <c:pt idx="0">
                        <c:v>01/01/2023</c:v>
                      </c:pt>
                      <c:pt idx="1">
                        <c:v>31/12/2023</c:v>
                      </c:pt>
                    </c:strCache>
                  </c:strRef>
                </c:cat>
                <c:val>
                  <c:numRef>
                    <c:extLst xmlns:c15="http://schemas.microsoft.com/office/drawing/2012/chart">
                      <c:ext xmlns:c15="http://schemas.microsoft.com/office/drawing/2012/chart" uri="{02D57815-91ED-43cb-92C2-25804820EDAC}">
                        <c15:formulaRef>
                          <c15:sqref>Coûts_partiels!$J$6:$K$6</c15:sqref>
                        </c15:formulaRef>
                      </c:ext>
                    </c:extLst>
                    <c:numCache>
                      <c:formatCode>_("€"* #,##0.00_);_("€"* \(#,##0.00\);_("€"* "-"??_);_(@_)</c:formatCode>
                      <c:ptCount val="2"/>
                      <c:pt idx="0">
                        <c:v>509627</c:v>
                      </c:pt>
                      <c:pt idx="1">
                        <c:v>509627</c:v>
                      </c:pt>
                    </c:numCache>
                  </c:numRef>
                </c:val>
                <c:smooth val="0"/>
                <c:extLst xmlns:c15="http://schemas.microsoft.com/office/drawing/2012/chart">
                  <c:ext xmlns:c16="http://schemas.microsoft.com/office/drawing/2014/chart" uri="{C3380CC4-5D6E-409C-BE32-E72D297353CC}">
                    <c16:uniqueId val="{00000000-4AF6-4DC0-AB4A-9A0D3361F543}"/>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Coûts_partiels!$I$7</c15:sqref>
                        </c15:formulaRef>
                      </c:ext>
                    </c:extLst>
                    <c:strCache>
                      <c:ptCount val="1"/>
                      <c:pt idx="0">
                        <c:v>Coûts variables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Coûts_partiels!$J$3:$K$3</c15:sqref>
                        </c15:formulaRef>
                      </c:ext>
                    </c:extLst>
                    <c:strCache>
                      <c:ptCount val="2"/>
                      <c:pt idx="0">
                        <c:v>01/01/2023</c:v>
                      </c:pt>
                      <c:pt idx="1">
                        <c:v>31/12/2023</c:v>
                      </c:pt>
                    </c:strCache>
                  </c:strRef>
                </c:cat>
                <c:val>
                  <c:numRef>
                    <c:extLst xmlns:c15="http://schemas.microsoft.com/office/drawing/2012/chart">
                      <c:ext xmlns:c15="http://schemas.microsoft.com/office/drawing/2012/chart" uri="{02D57815-91ED-43cb-92C2-25804820EDAC}">
                        <c15:formulaRef>
                          <c15:sqref>Coûts_partiels!$J$7:$K$7</c15:sqref>
                        </c15:formulaRef>
                      </c:ext>
                    </c:extLst>
                    <c:numCache>
                      <c:formatCode>_("€"* #,##0.00_);_("€"* \(#,##0.00\);_("€"* "-"??_);_(@_)</c:formatCode>
                      <c:ptCount val="2"/>
                      <c:pt idx="0">
                        <c:v>0</c:v>
                      </c:pt>
                      <c:pt idx="1">
                        <c:v>135168</c:v>
                      </c:pt>
                    </c:numCache>
                  </c:numRef>
                </c:val>
                <c:smooth val="0"/>
                <c:extLst xmlns:c15="http://schemas.microsoft.com/office/drawing/2012/chart">
                  <c:ext xmlns:c16="http://schemas.microsoft.com/office/drawing/2014/chart" uri="{C3380CC4-5D6E-409C-BE32-E72D297353CC}">
                    <c16:uniqueId val="{00000003-4AF6-4DC0-AB4A-9A0D3361F543}"/>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Coûts_partiels!$I$8</c15:sqref>
                        </c15:formulaRef>
                      </c:ext>
                    </c:extLst>
                    <c:strCache>
                      <c:ptCount val="1"/>
                      <c:pt idx="0">
                        <c:v>Total des coûts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xmlns:c15="http://schemas.microsoft.com/office/drawing/2012/chart">
                      <c:ext xmlns:c15="http://schemas.microsoft.com/office/drawing/2012/chart" uri="{02D57815-91ED-43cb-92C2-25804820EDAC}">
                        <c15:formulaRef>
                          <c15:sqref>Coûts_partiels!$J$3:$K$3</c15:sqref>
                        </c15:formulaRef>
                      </c:ext>
                    </c:extLst>
                    <c:strCache>
                      <c:ptCount val="2"/>
                      <c:pt idx="0">
                        <c:v>01/01/2023</c:v>
                      </c:pt>
                      <c:pt idx="1">
                        <c:v>31/12/2023</c:v>
                      </c:pt>
                    </c:strCache>
                  </c:strRef>
                </c:cat>
                <c:val>
                  <c:numRef>
                    <c:extLst xmlns:c15="http://schemas.microsoft.com/office/drawing/2012/chart">
                      <c:ext xmlns:c15="http://schemas.microsoft.com/office/drawing/2012/chart" uri="{02D57815-91ED-43cb-92C2-25804820EDAC}">
                        <c15:formulaRef>
                          <c15:sqref>Coûts_partiels!$J$8:$K$8</c15:sqref>
                        </c15:formulaRef>
                      </c:ext>
                    </c:extLst>
                    <c:numCache>
                      <c:formatCode>_("€"* #,##0.00_);_("€"* \(#,##0.00\);_("€"* "-"??_);_(@_)</c:formatCode>
                      <c:ptCount val="2"/>
                      <c:pt idx="0">
                        <c:v>509627</c:v>
                      </c:pt>
                      <c:pt idx="1">
                        <c:v>644795</c:v>
                      </c:pt>
                    </c:numCache>
                  </c:numRef>
                </c:val>
                <c:smooth val="0"/>
                <c:extLst xmlns:c15="http://schemas.microsoft.com/office/drawing/2012/chart">
                  <c:ext xmlns:c16="http://schemas.microsoft.com/office/drawing/2014/chart" uri="{C3380CC4-5D6E-409C-BE32-E72D297353CC}">
                    <c16:uniqueId val="{00000004-4AF6-4DC0-AB4A-9A0D3361F543}"/>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Coûts_partiels!$I$9</c15:sqref>
                        </c15:formulaRef>
                      </c:ext>
                    </c:extLst>
                    <c:strCache>
                      <c:ptCount val="1"/>
                      <c:pt idx="0">
                        <c:v>Marge sur coût variable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xmlns:c15="http://schemas.microsoft.com/office/drawing/2012/chart">
                      <c:ext xmlns:c15="http://schemas.microsoft.com/office/drawing/2012/chart" uri="{02D57815-91ED-43cb-92C2-25804820EDAC}">
                        <c15:formulaRef>
                          <c15:sqref>Coûts_partiels!$J$3:$K$3</c15:sqref>
                        </c15:formulaRef>
                      </c:ext>
                    </c:extLst>
                    <c:strCache>
                      <c:ptCount val="2"/>
                      <c:pt idx="0">
                        <c:v>01/01/2023</c:v>
                      </c:pt>
                      <c:pt idx="1">
                        <c:v>31/12/2023</c:v>
                      </c:pt>
                    </c:strCache>
                  </c:strRef>
                </c:cat>
                <c:val>
                  <c:numRef>
                    <c:extLst xmlns:c15="http://schemas.microsoft.com/office/drawing/2012/chart">
                      <c:ext xmlns:c15="http://schemas.microsoft.com/office/drawing/2012/chart" uri="{02D57815-91ED-43cb-92C2-25804820EDAC}">
                        <c15:formulaRef>
                          <c15:sqref>Coûts_partiels!$J$9:$K$9</c15:sqref>
                        </c15:formulaRef>
                      </c:ext>
                    </c:extLst>
                    <c:numCache>
                      <c:formatCode>_("€"* #,##0.00_);_("€"* \(#,##0.00\);_("€"* "-"??_);_(@_)</c:formatCode>
                      <c:ptCount val="2"/>
                      <c:pt idx="0">
                        <c:v>0</c:v>
                      </c:pt>
                      <c:pt idx="1">
                        <c:v>570082</c:v>
                      </c:pt>
                    </c:numCache>
                  </c:numRef>
                </c:val>
                <c:smooth val="0"/>
                <c:extLst xmlns:c15="http://schemas.microsoft.com/office/drawing/2012/chart">
                  <c:ext xmlns:c16="http://schemas.microsoft.com/office/drawing/2014/chart" uri="{C3380CC4-5D6E-409C-BE32-E72D297353CC}">
                    <c16:uniqueId val="{00000001-4AF6-4DC0-AB4A-9A0D3361F543}"/>
                  </c:ext>
                </c:extLst>
              </c15:ser>
            </c15:filteredLineSeries>
          </c:ext>
        </c:extLst>
      </c:lineChart>
      <c:catAx>
        <c:axId val="1148137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62528863"/>
        <c:crosses val="autoZero"/>
        <c:auto val="1"/>
        <c:lblAlgn val="ctr"/>
        <c:lblOffset val="100"/>
        <c:noMultiLvlLbl val="0"/>
      </c:catAx>
      <c:valAx>
        <c:axId val="962528863"/>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8137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809624</xdr:colOff>
      <xdr:row>19</xdr:row>
      <xdr:rowOff>38101</xdr:rowOff>
    </xdr:from>
    <xdr:to>
      <xdr:col>9</xdr:col>
      <xdr:colOff>19049</xdr:colOff>
      <xdr:row>34</xdr:row>
      <xdr:rowOff>152400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09624" y="4762501"/>
          <a:ext cx="7153275" cy="254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a:t>Dans le cadre de cet AP, je conseille aux professeurs de compléter les cellules colorées</a:t>
          </a:r>
          <a:r>
            <a:rPr lang="fr-FR" sz="1400" baseline="0"/>
            <a:t> de cet onglet dont les informations seront automatiquement saisies dans les autres onglets d'informations afin que les étudiants soient le plus guidés possibles dans l'étape de saisie des données du jeu.</a:t>
          </a:r>
        </a:p>
        <a:p>
          <a:endParaRPr lang="fr-FR" sz="1400" baseline="0"/>
        </a:p>
        <a:p>
          <a:r>
            <a:rPr lang="fr-FR" sz="1400" baseline="0"/>
            <a:t>Ce fichier de travail sert à obtenir un corrigé du travail de chaque entreprise qui a correctement saisi les données dans les onglets en jaune.</a:t>
          </a:r>
        </a:p>
        <a:p>
          <a:endParaRPr lang="fr-FR" sz="1400" baseline="0"/>
        </a:p>
        <a:p>
          <a:r>
            <a:rPr lang="fr-FR" sz="1400" baseline="0"/>
            <a:t>Il ne faut pas oublier, à la fin de chaque année du jeu (et de la SP), d'exécuter la macro située dans l'onglet "Ratios_analyse", surtout si vous souhaitez mettre en place la mission de comparaison des ratios dans le temps et entre les entreprises concurrentes.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xdr:colOff>
      <xdr:row>10</xdr:row>
      <xdr:rowOff>142874</xdr:rowOff>
    </xdr:from>
    <xdr:to>
      <xdr:col>11</xdr:col>
      <xdr:colOff>752474</xdr:colOff>
      <xdr:row>23</xdr:row>
      <xdr:rowOff>238124</xdr:rowOff>
    </xdr:to>
    <xdr:graphicFrame macro="">
      <xdr:nvGraphicFramePr>
        <xdr:cNvPr id="3" name="Graphique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24</xdr:row>
      <xdr:rowOff>152400</xdr:rowOff>
    </xdr:from>
    <xdr:to>
      <xdr:col>11</xdr:col>
      <xdr:colOff>742950</xdr:colOff>
      <xdr:row>35</xdr:row>
      <xdr:rowOff>85725</xdr:rowOff>
    </xdr:to>
    <xdr:graphicFrame macro="">
      <xdr:nvGraphicFramePr>
        <xdr:cNvPr id="4" name="Graphique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752475</xdr:colOff>
      <xdr:row>36</xdr:row>
      <xdr:rowOff>76200</xdr:rowOff>
    </xdr:from>
    <xdr:to>
      <xdr:col>11</xdr:col>
      <xdr:colOff>733425</xdr:colOff>
      <xdr:row>54</xdr:row>
      <xdr:rowOff>9525</xdr:rowOff>
    </xdr:to>
    <xdr:graphicFrame macro="">
      <xdr:nvGraphicFramePr>
        <xdr:cNvPr id="5" name="Graphique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9525</xdr:colOff>
          <xdr:row>0</xdr:row>
          <xdr:rowOff>152400</xdr:rowOff>
        </xdr:from>
        <xdr:to>
          <xdr:col>13</xdr:col>
          <xdr:colOff>0</xdr:colOff>
          <xdr:row>1</xdr:row>
          <xdr:rowOff>152400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E00-000001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000" b="0" i="0" u="none" strike="noStrike" baseline="0">
                  <a:solidFill>
                    <a:srgbClr val="000000"/>
                  </a:solidFill>
                  <a:latin typeface="Liberation Sans"/>
                </a:rPr>
                <a:t>Conservation des données annuelles</a:t>
              </a:r>
            </a:p>
            <a:p>
              <a:pPr algn="ctr" rtl="0">
                <a:defRPr sz="1000"/>
              </a:pPr>
              <a:r>
                <a:rPr lang="fr-FR" sz="1000" b="0" i="0" u="none" strike="noStrike" baseline="0">
                  <a:solidFill>
                    <a:srgbClr val="000000"/>
                  </a:solidFill>
                  <a:latin typeface="Liberation Sans"/>
                </a:rPr>
                <a:t>Conservation des ratios annuels</a:t>
              </a:r>
            </a:p>
          </xdr:txBody>
        </xdr:sp>
        <xdr:clientData fPrintsWithSheet="0"/>
      </xdr:twoCellAnchor>
    </mc:Choice>
    <mc:Fallback/>
  </mc:AlternateContent>
  <xdr:twoCellAnchor>
    <xdr:from>
      <xdr:col>5</xdr:col>
      <xdr:colOff>352425</xdr:colOff>
      <xdr:row>5</xdr:row>
      <xdr:rowOff>19049</xdr:rowOff>
    </xdr:from>
    <xdr:to>
      <xdr:col>12</xdr:col>
      <xdr:colOff>466725</xdr:colOff>
      <xdr:row>68</xdr:row>
      <xdr:rowOff>9524</xdr:rowOff>
    </xdr:to>
    <xdr:sp macro="" textlink="">
      <xdr:nvSpPr>
        <xdr:cNvPr id="2" name="ZoneTexte 1">
          <a:extLst>
            <a:ext uri="{FF2B5EF4-FFF2-40B4-BE49-F238E27FC236}">
              <a16:creationId xmlns:a16="http://schemas.microsoft.com/office/drawing/2014/main" id="{00000000-0008-0000-0E00-000002000000}"/>
            </a:ext>
          </a:extLst>
        </xdr:cNvPr>
        <xdr:cNvSpPr txBox="1"/>
      </xdr:nvSpPr>
      <xdr:spPr>
        <a:xfrm>
          <a:off x="9553575" y="828674"/>
          <a:ext cx="5448300" cy="11287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800"/>
            <a:t>Exécuter la</a:t>
          </a:r>
          <a:r>
            <a:rPr lang="fr-FR" sz="1800" baseline="0"/>
            <a:t> macro en cliquant sur le bouton "Conservation des données annuelles actuelles" pour qu'elles soient automatiquement reportées sur ce tableau. Attention, seules les valeurs seront conservées, et non les formules.</a:t>
          </a:r>
          <a:endParaRPr lang="fr-FR" sz="18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4"/>
  </sheetPr>
  <dimension ref="B2:I18"/>
  <sheetViews>
    <sheetView tabSelected="1" workbookViewId="0">
      <selection activeCell="H12" sqref="H12"/>
    </sheetView>
  </sheetViews>
  <sheetFormatPr baseColWidth="10" defaultRowHeight="12.75"/>
  <cols>
    <col min="1" max="1" width="12.140625" customWidth="1"/>
    <col min="2" max="2" width="20.85546875" style="14" customWidth="1"/>
    <col min="3" max="4" width="12.140625" customWidth="1"/>
    <col min="5" max="5" width="13.28515625" customWidth="1"/>
    <col min="6" max="9" width="12.140625" customWidth="1"/>
  </cols>
  <sheetData>
    <row r="2" spans="2:9">
      <c r="B2" s="363" t="s">
        <v>268</v>
      </c>
      <c r="C2" s="363"/>
      <c r="D2" s="363"/>
      <c r="E2" s="363"/>
      <c r="F2" s="363"/>
      <c r="G2" s="363"/>
      <c r="H2" s="363"/>
      <c r="I2" s="363"/>
    </row>
    <row r="3" spans="2:9">
      <c r="B3" s="126">
        <v>2023</v>
      </c>
      <c r="C3" s="127">
        <v>2024</v>
      </c>
      <c r="D3" s="126">
        <v>2025</v>
      </c>
      <c r="E3" s="127">
        <v>2026</v>
      </c>
      <c r="F3" s="126">
        <v>2027</v>
      </c>
      <c r="G3" s="127">
        <v>2028</v>
      </c>
      <c r="H3" s="126">
        <v>2029</v>
      </c>
      <c r="I3" s="127">
        <v>2030</v>
      </c>
    </row>
    <row r="4" spans="2:9">
      <c r="E4" s="26"/>
    </row>
    <row r="5" spans="2:9">
      <c r="B5" s="361" t="s">
        <v>270</v>
      </c>
      <c r="C5" s="361"/>
      <c r="E5" s="27" t="s">
        <v>0</v>
      </c>
    </row>
    <row r="6" spans="2:9">
      <c r="B6" s="7" t="s">
        <v>269</v>
      </c>
      <c r="C6" s="2" t="s">
        <v>1</v>
      </c>
      <c r="E6" s="128">
        <v>2023</v>
      </c>
    </row>
    <row r="7" spans="2:9">
      <c r="B7" s="7" t="s">
        <v>2</v>
      </c>
      <c r="C7" s="2" t="s">
        <v>3</v>
      </c>
    </row>
    <row r="8" spans="2:9">
      <c r="B8" s="7" t="s">
        <v>4</v>
      </c>
      <c r="C8" s="2" t="s">
        <v>5</v>
      </c>
    </row>
    <row r="10" spans="2:9">
      <c r="B10" s="361" t="s">
        <v>271</v>
      </c>
      <c r="C10" s="361"/>
      <c r="E10" s="362" t="s">
        <v>191</v>
      </c>
      <c r="F10" s="362"/>
    </row>
    <row r="11" spans="2:9">
      <c r="B11" s="7" t="s">
        <v>6</v>
      </c>
      <c r="C11" s="4" t="s">
        <v>7</v>
      </c>
      <c r="E11" s="23" t="s">
        <v>95</v>
      </c>
      <c r="F11" s="24" t="s">
        <v>193</v>
      </c>
    </row>
    <row r="12" spans="2:9">
      <c r="B12" s="7" t="s">
        <v>8</v>
      </c>
      <c r="C12" s="4" t="s">
        <v>9</v>
      </c>
      <c r="E12" s="23" t="s">
        <v>96</v>
      </c>
      <c r="F12" s="24" t="s">
        <v>194</v>
      </c>
    </row>
    <row r="13" spans="2:9">
      <c r="E13" s="23" t="s">
        <v>192</v>
      </c>
      <c r="F13" s="24" t="s">
        <v>195</v>
      </c>
    </row>
    <row r="14" spans="2:9">
      <c r="B14" s="361" t="s">
        <v>10</v>
      </c>
      <c r="C14" s="361"/>
      <c r="E14" s="23" t="s">
        <v>199</v>
      </c>
      <c r="F14" s="24" t="s">
        <v>196</v>
      </c>
    </row>
    <row r="15" spans="2:9" ht="25.5">
      <c r="B15" s="7" t="s">
        <v>11</v>
      </c>
      <c r="C15" s="5"/>
      <c r="E15" s="23" t="s">
        <v>200</v>
      </c>
      <c r="F15" s="24" t="s">
        <v>197</v>
      </c>
    </row>
    <row r="16" spans="2:9" ht="25.5">
      <c r="B16" s="225" t="s">
        <v>12</v>
      </c>
      <c r="C16" s="259"/>
      <c r="E16" s="23" t="s">
        <v>201</v>
      </c>
      <c r="F16" s="24" t="s">
        <v>198</v>
      </c>
    </row>
    <row r="17" spans="2:3" ht="66" customHeight="1">
      <c r="B17" s="28" t="str">
        <f>CONCATENATE("Décisions de l'année ",E6+1," qui doivent être inscrites pour pouvoir obtenir certaines informations")</f>
        <v>Décisions de l'année 2024 qui doivent être inscrites pour pouvoir obtenir certaines informations</v>
      </c>
      <c r="C17" s="260"/>
    </row>
    <row r="18" spans="2:3" ht="63.75">
      <c r="B18" s="28" t="str">
        <f>CONCATENATE("Données de l'année ",E6-1," qui doivent être inscrites pour pouvoir obtenir certaines informations")</f>
        <v>Données de l'année 2022 qui doivent être inscrites pour pouvoir obtenir certaines informations</v>
      </c>
      <c r="C18" s="269"/>
    </row>
  </sheetData>
  <mergeCells count="5">
    <mergeCell ref="B5:C5"/>
    <mergeCell ref="B10:C10"/>
    <mergeCell ref="B14:C14"/>
    <mergeCell ref="E10:F10"/>
    <mergeCell ref="B2:I2"/>
  </mergeCells>
  <pageMargins left="0" right="0" top="0.39370078740157505" bottom="0.39370078740157505" header="0" footer="0"/>
  <headerFooter>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68DAC-AB54-4477-94B9-EBFF2D4A26D5}">
  <sheetPr codeName="Feuil8">
    <tabColor theme="9"/>
  </sheetPr>
  <dimension ref="B1:BZ63"/>
  <sheetViews>
    <sheetView zoomScale="85" zoomScaleNormal="85" workbookViewId="0">
      <selection activeCell="BR18" sqref="BR18"/>
    </sheetView>
  </sheetViews>
  <sheetFormatPr baseColWidth="10" defaultRowHeight="12.75"/>
  <cols>
    <col min="2" max="2" width="26.42578125" customWidth="1"/>
    <col min="4" max="6" width="12.85546875" bestFit="1" customWidth="1"/>
    <col min="10" max="11" width="12.85546875" bestFit="1" customWidth="1"/>
    <col min="12" max="12" width="16.28515625" bestFit="1" customWidth="1"/>
    <col min="15" max="15" width="12.85546875" bestFit="1" customWidth="1"/>
    <col min="19" max="19" width="12.85546875" bestFit="1" customWidth="1"/>
    <col min="20" max="20" width="23" customWidth="1"/>
    <col min="38" max="38" width="22.7109375" customWidth="1"/>
    <col min="39" max="39" width="13" customWidth="1"/>
    <col min="42" max="42" width="12.5703125" customWidth="1"/>
    <col min="46" max="46" width="12.42578125" bestFit="1" customWidth="1"/>
    <col min="47" max="48" width="12.85546875" bestFit="1" customWidth="1"/>
    <col min="51" max="51" width="12.85546875" bestFit="1" customWidth="1"/>
    <col min="58" max="60" width="12.85546875" bestFit="1" customWidth="1"/>
    <col min="70" max="70" width="11.85546875" bestFit="1" customWidth="1"/>
    <col min="76" max="76" width="12.42578125" bestFit="1" customWidth="1"/>
  </cols>
  <sheetData>
    <row r="1" spans="2:78" ht="13.5" thickBot="1"/>
    <row r="2" spans="2:78" ht="14.25" thickTop="1" thickBot="1">
      <c r="B2" s="549" t="str">
        <f>CONCATENATE("Fiche de coûts constatés en ",Donnees_de_jeu!E6)</f>
        <v>Fiche de coûts constatés en 2023</v>
      </c>
      <c r="C2" s="550"/>
      <c r="D2" s="550"/>
      <c r="E2" s="550"/>
      <c r="F2" s="550"/>
      <c r="G2" s="550"/>
      <c r="H2" s="550"/>
      <c r="I2" s="550"/>
      <c r="J2" s="550"/>
      <c r="K2" s="550"/>
      <c r="L2" s="550"/>
      <c r="M2" s="550"/>
      <c r="N2" s="550"/>
      <c r="O2" s="550"/>
      <c r="P2" s="550"/>
      <c r="Q2" s="550"/>
      <c r="R2" s="551"/>
      <c r="T2" s="549" t="str">
        <f>CONCATENATE("Fiche de coûts prévisionnels de ",Donnees_de_jeu!E6,", établie fin ",Donnees_de_jeu!E6-1,", adaptés à la production prévisionnelle")</f>
        <v>Fiche de coûts prévisionnels de 2023, établie fin 2022, adaptés à la production prévisionnelle</v>
      </c>
      <c r="U2" s="550"/>
      <c r="V2" s="550"/>
      <c r="W2" s="550"/>
      <c r="X2" s="550"/>
      <c r="Y2" s="550"/>
      <c r="Z2" s="550"/>
      <c r="AA2" s="550"/>
      <c r="AB2" s="550"/>
      <c r="AC2" s="550"/>
      <c r="AD2" s="550"/>
      <c r="AE2" s="550"/>
      <c r="AF2" s="550"/>
      <c r="AG2" s="550"/>
      <c r="AH2" s="550"/>
      <c r="AI2" s="550"/>
      <c r="AJ2" s="551"/>
      <c r="AL2" s="554" t="str">
        <f>CONCATENATE("Fiche de coûts prévisionnels de ",Donnees_de_jeu!E6,", établie fin ",Donnees_de_jeu!E6-1,", adaptés à la production réelle")</f>
        <v>Fiche de coûts prévisionnels de 2023, établie fin 2022, adaptés à la production réelle</v>
      </c>
      <c r="AM2" s="555"/>
      <c r="AN2" s="555"/>
      <c r="AO2" s="555"/>
      <c r="AP2" s="555"/>
      <c r="AQ2" s="555"/>
      <c r="AR2" s="555"/>
      <c r="AS2" s="555"/>
      <c r="AT2" s="555"/>
      <c r="AU2" s="555"/>
      <c r="AV2" s="555"/>
      <c r="AW2" s="555"/>
      <c r="AX2" s="555"/>
      <c r="AY2" s="555"/>
      <c r="AZ2" s="555"/>
      <c r="BA2" s="555"/>
      <c r="BB2" s="556"/>
      <c r="BD2" s="493" t="s">
        <v>414</v>
      </c>
      <c r="BE2" s="494"/>
      <c r="BF2" s="494"/>
      <c r="BG2" s="494"/>
      <c r="BH2" s="494"/>
      <c r="BI2" s="494"/>
      <c r="BJ2" s="494"/>
      <c r="BK2" s="494"/>
      <c r="BL2" s="494"/>
      <c r="BM2" s="494"/>
      <c r="BN2" s="495"/>
      <c r="BP2" s="493" t="s">
        <v>415</v>
      </c>
      <c r="BQ2" s="494"/>
      <c r="BR2" s="494"/>
      <c r="BS2" s="494"/>
      <c r="BT2" s="494"/>
      <c r="BU2" s="494"/>
      <c r="BV2" s="494"/>
      <c r="BW2" s="494"/>
      <c r="BX2" s="494"/>
      <c r="BY2" s="494"/>
      <c r="BZ2" s="495"/>
    </row>
    <row r="3" spans="2:78" ht="12.75" customHeight="1" thickTop="1">
      <c r="B3" s="526" t="s">
        <v>333</v>
      </c>
      <c r="C3" s="527"/>
      <c r="D3" s="527"/>
      <c r="E3" s="527"/>
      <c r="F3" s="546"/>
      <c r="G3" s="295"/>
      <c r="H3" s="547" t="s">
        <v>334</v>
      </c>
      <c r="I3" s="547"/>
      <c r="J3" s="547"/>
      <c r="K3" s="547"/>
      <c r="L3" s="547"/>
      <c r="M3" s="547"/>
      <c r="N3" s="547"/>
      <c r="O3" s="547"/>
      <c r="P3" s="547"/>
      <c r="Q3" s="547"/>
      <c r="R3" s="548"/>
      <c r="T3" s="526" t="s">
        <v>333</v>
      </c>
      <c r="U3" s="527"/>
      <c r="V3" s="527"/>
      <c r="W3" s="527"/>
      <c r="X3" s="546"/>
      <c r="Y3" s="295"/>
      <c r="Z3" s="547" t="s">
        <v>334</v>
      </c>
      <c r="AA3" s="547"/>
      <c r="AB3" s="547"/>
      <c r="AC3" s="547"/>
      <c r="AD3" s="547"/>
      <c r="AE3" s="547"/>
      <c r="AF3" s="547"/>
      <c r="AG3" s="547"/>
      <c r="AH3" s="547"/>
      <c r="AI3" s="547"/>
      <c r="AJ3" s="548"/>
      <c r="AL3" s="526" t="s">
        <v>333</v>
      </c>
      <c r="AM3" s="527"/>
      <c r="AN3" s="527"/>
      <c r="AO3" s="527"/>
      <c r="AP3" s="546"/>
      <c r="AQ3" s="295"/>
      <c r="AR3" s="547" t="s">
        <v>334</v>
      </c>
      <c r="AS3" s="547"/>
      <c r="AT3" s="547"/>
      <c r="AU3" s="547"/>
      <c r="AV3" s="547"/>
      <c r="AW3" s="547"/>
      <c r="AX3" s="547"/>
      <c r="AY3" s="547"/>
      <c r="AZ3" s="547"/>
      <c r="BA3" s="547"/>
      <c r="BB3" s="548"/>
      <c r="BD3" s="477" t="s">
        <v>410</v>
      </c>
      <c r="BE3" s="350" t="s">
        <v>424</v>
      </c>
      <c r="BF3" s="496" t="s">
        <v>402</v>
      </c>
      <c r="BG3" s="497"/>
      <c r="BH3" s="497"/>
      <c r="BI3" s="497"/>
      <c r="BJ3" s="497"/>
      <c r="BK3" s="497"/>
      <c r="BL3" s="497"/>
      <c r="BM3" s="497"/>
      <c r="BN3" s="498"/>
      <c r="BP3" s="477" t="s">
        <v>409</v>
      </c>
      <c r="BQ3" s="350" t="s">
        <v>424</v>
      </c>
      <c r="BR3" s="496" t="s">
        <v>416</v>
      </c>
      <c r="BS3" s="497"/>
      <c r="BT3" s="497"/>
      <c r="BU3" s="497"/>
      <c r="BV3" s="497"/>
      <c r="BW3" s="497"/>
      <c r="BX3" s="497"/>
      <c r="BY3" s="497"/>
      <c r="BZ3" s="498"/>
    </row>
    <row r="4" spans="2:78" ht="39" thickBot="1">
      <c r="B4" s="530" t="s">
        <v>324</v>
      </c>
      <c r="C4" s="446"/>
      <c r="D4" s="169" t="s">
        <v>327</v>
      </c>
      <c r="E4" s="169" t="s">
        <v>325</v>
      </c>
      <c r="F4" s="169" t="s">
        <v>326</v>
      </c>
      <c r="G4" s="295"/>
      <c r="H4" s="461"/>
      <c r="I4" s="462"/>
      <c r="J4" s="452" t="str">
        <f>CONCATENATE("Matières pour le ",Donnees_de_jeu!C6)</f>
        <v>Matières pour le Scooter G1</v>
      </c>
      <c r="K4" s="453"/>
      <c r="L4" s="454"/>
      <c r="M4" s="452" t="str">
        <f>CONCATENATE("Matières pour le ",Donnees_de_jeu!C7)</f>
        <v>Matières pour le Scooter G2</v>
      </c>
      <c r="N4" s="453"/>
      <c r="O4" s="454"/>
      <c r="P4" s="452" t="str">
        <f>CONCATENATE("Matières pour le ",Donnees_de_jeu!C8)</f>
        <v>Matières pour le Scooter G3</v>
      </c>
      <c r="Q4" s="453"/>
      <c r="R4" s="544"/>
      <c r="T4" s="530" t="s">
        <v>324</v>
      </c>
      <c r="U4" s="446"/>
      <c r="V4" s="169" t="s">
        <v>327</v>
      </c>
      <c r="W4" s="169" t="s">
        <v>325</v>
      </c>
      <c r="X4" s="169" t="s">
        <v>326</v>
      </c>
      <c r="Y4" s="295"/>
      <c r="Z4" s="461"/>
      <c r="AA4" s="462"/>
      <c r="AB4" s="518" t="str">
        <f>J4</f>
        <v>Matières pour le Scooter G1</v>
      </c>
      <c r="AC4" s="519"/>
      <c r="AD4" s="529"/>
      <c r="AE4" s="518" t="str">
        <f t="shared" ref="AE4" si="0">M4</f>
        <v>Matières pour le Scooter G2</v>
      </c>
      <c r="AF4" s="519"/>
      <c r="AG4" s="529"/>
      <c r="AH4" s="518" t="str">
        <f t="shared" ref="AH4" si="1">P4</f>
        <v>Matières pour le Scooter G3</v>
      </c>
      <c r="AI4" s="519"/>
      <c r="AJ4" s="520"/>
      <c r="AL4" s="530" t="s">
        <v>324</v>
      </c>
      <c r="AM4" s="446"/>
      <c r="AN4" s="169" t="s">
        <v>327</v>
      </c>
      <c r="AO4" s="169" t="s">
        <v>325</v>
      </c>
      <c r="AP4" s="169" t="s">
        <v>326</v>
      </c>
      <c r="AQ4" s="295"/>
      <c r="AR4" s="461"/>
      <c r="AS4" s="462"/>
      <c r="AT4" s="518" t="str">
        <f>AB4</f>
        <v>Matières pour le Scooter G1</v>
      </c>
      <c r="AU4" s="519"/>
      <c r="AV4" s="529"/>
      <c r="AW4" s="518" t="str">
        <f t="shared" ref="AW4" si="2">AE4</f>
        <v>Matières pour le Scooter G2</v>
      </c>
      <c r="AX4" s="519"/>
      <c r="AY4" s="529"/>
      <c r="AZ4" s="518" t="str">
        <f t="shared" ref="AZ4" si="3">AH4</f>
        <v>Matières pour le Scooter G3</v>
      </c>
      <c r="BA4" s="519"/>
      <c r="BB4" s="520"/>
      <c r="BD4" s="478"/>
      <c r="BE4" s="355" t="s">
        <v>134</v>
      </c>
      <c r="BF4" s="541" t="s">
        <v>425</v>
      </c>
      <c r="BG4" s="542"/>
      <c r="BH4" s="542"/>
      <c r="BI4" s="542"/>
      <c r="BJ4" s="542"/>
      <c r="BK4" s="542"/>
      <c r="BL4" s="542"/>
      <c r="BM4" s="542"/>
      <c r="BN4" s="543"/>
      <c r="BP4" s="478"/>
      <c r="BQ4" s="354" t="s">
        <v>134</v>
      </c>
      <c r="BR4" s="499" t="s">
        <v>419</v>
      </c>
      <c r="BS4" s="500"/>
      <c r="BT4" s="500"/>
      <c r="BU4" s="500"/>
      <c r="BV4" s="500"/>
      <c r="BW4" s="500"/>
      <c r="BX4" s="500"/>
      <c r="BY4" s="500"/>
      <c r="BZ4" s="501"/>
    </row>
    <row r="5" spans="2:78" ht="13.5" thickTop="1">
      <c r="B5" s="296" t="s">
        <v>45</v>
      </c>
      <c r="C5" s="201"/>
      <c r="D5" s="193">
        <f>Charges_compta_analytique!K26</f>
        <v>188700</v>
      </c>
      <c r="E5" s="193">
        <f>D5</f>
        <v>188700</v>
      </c>
      <c r="F5" s="28"/>
      <c r="G5" s="295"/>
      <c r="H5" s="463"/>
      <c r="I5" s="464"/>
      <c r="J5" s="28" t="s">
        <v>336</v>
      </c>
      <c r="K5" s="28" t="s">
        <v>337</v>
      </c>
      <c r="L5" s="28" t="s">
        <v>338</v>
      </c>
      <c r="M5" s="28" t="s">
        <v>336</v>
      </c>
      <c r="N5" s="28" t="s">
        <v>337</v>
      </c>
      <c r="O5" s="28" t="s">
        <v>338</v>
      </c>
      <c r="P5" s="28" t="s">
        <v>336</v>
      </c>
      <c r="Q5" s="28" t="s">
        <v>337</v>
      </c>
      <c r="R5" s="297" t="s">
        <v>338</v>
      </c>
      <c r="T5" s="296" t="s">
        <v>45</v>
      </c>
      <c r="U5" s="201"/>
      <c r="V5" s="270">
        <f>Charges_compta_analytique!AC26</f>
        <v>0</v>
      </c>
      <c r="W5" s="193">
        <f>V5</f>
        <v>0</v>
      </c>
      <c r="X5" s="28"/>
      <c r="Y5" s="295"/>
      <c r="Z5" s="463"/>
      <c r="AA5" s="464"/>
      <c r="AB5" s="28" t="s">
        <v>336</v>
      </c>
      <c r="AC5" s="28" t="s">
        <v>337</v>
      </c>
      <c r="AD5" s="28" t="s">
        <v>338</v>
      </c>
      <c r="AE5" s="28" t="s">
        <v>336</v>
      </c>
      <c r="AF5" s="28" t="s">
        <v>337</v>
      </c>
      <c r="AG5" s="28" t="s">
        <v>338</v>
      </c>
      <c r="AH5" s="28" t="s">
        <v>336</v>
      </c>
      <c r="AI5" s="28" t="s">
        <v>337</v>
      </c>
      <c r="AJ5" s="297" t="s">
        <v>338</v>
      </c>
      <c r="AL5" s="296" t="s">
        <v>45</v>
      </c>
      <c r="AM5" s="201"/>
      <c r="AN5" s="234">
        <f>V5</f>
        <v>0</v>
      </c>
      <c r="AO5" s="193">
        <f>W5</f>
        <v>0</v>
      </c>
      <c r="AP5" s="50">
        <f>X5</f>
        <v>0</v>
      </c>
      <c r="AQ5" s="295"/>
      <c r="AR5" s="463"/>
      <c r="AS5" s="464"/>
      <c r="AT5" s="28" t="s">
        <v>336</v>
      </c>
      <c r="AU5" s="28" t="s">
        <v>337</v>
      </c>
      <c r="AV5" s="28" t="s">
        <v>338</v>
      </c>
      <c r="AW5" s="28" t="s">
        <v>336</v>
      </c>
      <c r="AX5" s="28" t="s">
        <v>337</v>
      </c>
      <c r="AY5" s="28" t="s">
        <v>338</v>
      </c>
      <c r="AZ5" s="28" t="s">
        <v>336</v>
      </c>
      <c r="BA5" s="28" t="s">
        <v>337</v>
      </c>
      <c r="BB5" s="297" t="s">
        <v>338</v>
      </c>
      <c r="BD5" s="479" t="s">
        <v>422</v>
      </c>
      <c r="BE5" s="511" t="s">
        <v>409</v>
      </c>
      <c r="BF5" s="350" t="s">
        <v>424</v>
      </c>
      <c r="BG5" s="496" t="s">
        <v>402</v>
      </c>
      <c r="BH5" s="497"/>
      <c r="BI5" s="497"/>
      <c r="BJ5" s="497"/>
      <c r="BK5" s="497"/>
      <c r="BL5" s="497"/>
      <c r="BM5" s="497"/>
      <c r="BN5" s="498"/>
      <c r="BP5" s="479" t="s">
        <v>422</v>
      </c>
      <c r="BQ5" s="482" t="s">
        <v>423</v>
      </c>
      <c r="BR5" s="350" t="s">
        <v>424</v>
      </c>
      <c r="BS5" s="496" t="s">
        <v>416</v>
      </c>
      <c r="BT5" s="497"/>
      <c r="BU5" s="497"/>
      <c r="BV5" s="497"/>
      <c r="BW5" s="497"/>
      <c r="BX5" s="497"/>
      <c r="BY5" s="497"/>
      <c r="BZ5" s="498"/>
    </row>
    <row r="6" spans="2:78" ht="26.25" thickBot="1">
      <c r="B6" s="545" t="s">
        <v>46</v>
      </c>
      <c r="C6" s="125" t="str">
        <f>CONCATENATE("Machine(s) ", Donnees_de_jeu!$C$11, "(s)")</f>
        <v>Machine(s) Classique(s)</v>
      </c>
      <c r="D6" s="193">
        <f>Charges_compta_analytique!K27</f>
        <v>60000</v>
      </c>
      <c r="E6" s="193">
        <f>D6</f>
        <v>60000</v>
      </c>
      <c r="F6" s="28"/>
      <c r="G6" s="295"/>
      <c r="H6" s="443" t="s">
        <v>311</v>
      </c>
      <c r="I6" s="443"/>
      <c r="J6" s="201"/>
      <c r="K6" s="201"/>
      <c r="L6" s="201"/>
      <c r="M6" s="201"/>
      <c r="N6" s="201"/>
      <c r="O6" s="201"/>
      <c r="P6" s="201"/>
      <c r="Q6" s="201"/>
      <c r="R6" s="298"/>
      <c r="T6" s="545" t="s">
        <v>46</v>
      </c>
      <c r="U6" s="125" t="str">
        <f>CONCATENATE("Machine(s) ", Donnees_de_jeu!$C$11, "(s)")</f>
        <v>Machine(s) Classique(s)</v>
      </c>
      <c r="V6" s="270">
        <f>Charges_compta_analytique!AC27</f>
        <v>0</v>
      </c>
      <c r="W6" s="193">
        <f>V6</f>
        <v>0</v>
      </c>
      <c r="X6" s="28"/>
      <c r="Y6" s="295"/>
      <c r="Z6" s="443" t="s">
        <v>311</v>
      </c>
      <c r="AA6" s="443"/>
      <c r="AB6" s="201"/>
      <c r="AC6" s="201"/>
      <c r="AD6" s="201"/>
      <c r="AE6" s="201"/>
      <c r="AF6" s="201"/>
      <c r="AG6" s="201"/>
      <c r="AH6" s="201"/>
      <c r="AI6" s="201"/>
      <c r="AJ6" s="298"/>
      <c r="AL6" s="545" t="s">
        <v>46</v>
      </c>
      <c r="AM6" s="125" t="str">
        <f>CONCATENATE("Machine(s) ", Donnees_de_jeu!$C$11, "(s)")</f>
        <v>Machine(s) Classique(s)</v>
      </c>
      <c r="AN6" s="234">
        <f t="shared" ref="AN6:AN14" si="4">V6</f>
        <v>0</v>
      </c>
      <c r="AO6" s="193">
        <f t="shared" ref="AO6:AO14" si="5">W6</f>
        <v>0</v>
      </c>
      <c r="AP6" s="50">
        <f t="shared" ref="AP6:AP14" si="6">X6</f>
        <v>0</v>
      </c>
      <c r="AQ6" s="295"/>
      <c r="AR6" s="443" t="s">
        <v>311</v>
      </c>
      <c r="AS6" s="443"/>
      <c r="AT6" s="201"/>
      <c r="AU6" s="201"/>
      <c r="AV6" s="201"/>
      <c r="AW6" s="201"/>
      <c r="AX6" s="201"/>
      <c r="AY6" s="201"/>
      <c r="AZ6" s="201"/>
      <c r="BA6" s="201"/>
      <c r="BB6" s="298"/>
      <c r="BD6" s="480"/>
      <c r="BE6" s="512"/>
      <c r="BF6" s="353" t="s">
        <v>134</v>
      </c>
      <c r="BG6" s="507" t="s">
        <v>426</v>
      </c>
      <c r="BH6" s="507"/>
      <c r="BI6" s="507"/>
      <c r="BJ6" s="507"/>
      <c r="BK6" s="507"/>
      <c r="BL6" s="507"/>
      <c r="BM6" s="507"/>
      <c r="BN6" s="508"/>
      <c r="BP6" s="480"/>
      <c r="BQ6" s="483"/>
      <c r="BR6" s="351" t="s">
        <v>134</v>
      </c>
      <c r="BS6" s="502" t="s">
        <v>421</v>
      </c>
      <c r="BT6" s="502"/>
      <c r="BU6" s="502"/>
      <c r="BV6" s="502"/>
      <c r="BW6" s="502"/>
      <c r="BX6" s="502"/>
      <c r="BY6" s="502"/>
      <c r="BZ6" s="503"/>
    </row>
    <row r="7" spans="2:78" ht="26.25" thickTop="1">
      <c r="B7" s="545"/>
      <c r="C7" s="125" t="str">
        <f>CONCATENATE("Machine(s) ",Donnees_de_jeu!$C$12,"(s)")</f>
        <v>Machine(s) Moderne(s)</v>
      </c>
      <c r="D7" s="193">
        <f>Charges_compta_analytique!K28</f>
        <v>0</v>
      </c>
      <c r="E7" s="193">
        <f>D7</f>
        <v>0</v>
      </c>
      <c r="F7" s="28"/>
      <c r="G7" s="295"/>
      <c r="H7" s="473" t="s">
        <v>335</v>
      </c>
      <c r="I7" s="473"/>
      <c r="J7" s="247">
        <f>D26</f>
        <v>2319</v>
      </c>
      <c r="K7" s="213">
        <f>L7/J7</f>
        <v>40</v>
      </c>
      <c r="L7" s="250">
        <f>Charges_compta_analytique!J5</f>
        <v>92760</v>
      </c>
      <c r="M7" s="247">
        <f>D27</f>
        <v>0</v>
      </c>
      <c r="N7" s="213" t="e">
        <f>O7/M7</f>
        <v>#DIV/0!</v>
      </c>
      <c r="O7" s="250">
        <f>Charges_compta_analytique!J6</f>
        <v>0</v>
      </c>
      <c r="P7" s="247">
        <f>D28</f>
        <v>0</v>
      </c>
      <c r="Q7" s="213" t="e">
        <f>R7/P7</f>
        <v>#DIV/0!</v>
      </c>
      <c r="R7" s="299">
        <f>Charges_compta_analytique!J7</f>
        <v>0</v>
      </c>
      <c r="T7" s="545"/>
      <c r="U7" s="125" t="str">
        <f>CONCATENATE("Machine(s) ",Donnees_de_jeu!$C$12,"(s)")</f>
        <v>Machine(s) Moderne(s)</v>
      </c>
      <c r="V7" s="270">
        <f>Charges_compta_analytique!AC28</f>
        <v>0</v>
      </c>
      <c r="W7" s="193">
        <f>V7</f>
        <v>0</v>
      </c>
      <c r="X7" s="28"/>
      <c r="Y7" s="295"/>
      <c r="Z7" s="473" t="str">
        <f>H7</f>
        <v>Achat de matières</v>
      </c>
      <c r="AA7" s="473"/>
      <c r="AB7" s="247">
        <f>V26</f>
        <v>0</v>
      </c>
      <c r="AC7" s="213">
        <f>K7</f>
        <v>40</v>
      </c>
      <c r="AD7" s="250">
        <f>AB7*AC7</f>
        <v>0</v>
      </c>
      <c r="AE7" s="247">
        <f>V27</f>
        <v>0</v>
      </c>
      <c r="AF7" s="213">
        <v>50</v>
      </c>
      <c r="AG7" s="250">
        <f>AE7*AF7</f>
        <v>0</v>
      </c>
      <c r="AH7" s="247">
        <f>V28</f>
        <v>0</v>
      </c>
      <c r="AI7" s="213">
        <v>80</v>
      </c>
      <c r="AJ7" s="299">
        <f>AH7*AI7</f>
        <v>0</v>
      </c>
      <c r="AL7" s="545"/>
      <c r="AM7" s="125" t="str">
        <f>CONCATENATE("Machine(s) ",Donnees_de_jeu!$C$12,"(s)")</f>
        <v>Machine(s) Moderne(s)</v>
      </c>
      <c r="AN7" s="234">
        <f t="shared" si="4"/>
        <v>0</v>
      </c>
      <c r="AO7" s="193">
        <f t="shared" si="5"/>
        <v>0</v>
      </c>
      <c r="AP7" s="50">
        <f t="shared" si="6"/>
        <v>0</v>
      </c>
      <c r="AQ7" s="295"/>
      <c r="AR7" s="473" t="str">
        <f>Z7</f>
        <v>Achat de matières</v>
      </c>
      <c r="AS7" s="473"/>
      <c r="AT7" s="247">
        <f>AN26</f>
        <v>2319</v>
      </c>
      <c r="AU7" s="213">
        <f>AC7</f>
        <v>40</v>
      </c>
      <c r="AV7" s="250">
        <f>AT7*AU7</f>
        <v>92760</v>
      </c>
      <c r="AW7" s="247">
        <f>AN27</f>
        <v>0</v>
      </c>
      <c r="AX7" s="213">
        <f>AF7</f>
        <v>50</v>
      </c>
      <c r="AY7" s="250">
        <f>AW7*AX7</f>
        <v>0</v>
      </c>
      <c r="AZ7" s="247">
        <f>AN28</f>
        <v>0</v>
      </c>
      <c r="BA7" s="213">
        <f>AI7</f>
        <v>80</v>
      </c>
      <c r="BB7" s="299">
        <f>Charges_compta_analytique!AT7</f>
        <v>0</v>
      </c>
      <c r="BD7" s="480"/>
      <c r="BE7" s="509" t="s">
        <v>407</v>
      </c>
      <c r="BF7" s="356" t="s">
        <v>424</v>
      </c>
      <c r="BG7" s="513" t="s">
        <v>408</v>
      </c>
      <c r="BH7" s="514"/>
      <c r="BI7" s="514"/>
      <c r="BJ7" s="514"/>
      <c r="BK7" s="514"/>
      <c r="BL7" s="514"/>
      <c r="BM7" s="514"/>
      <c r="BN7" s="515"/>
      <c r="BP7" s="480"/>
      <c r="BQ7" s="482" t="s">
        <v>420</v>
      </c>
      <c r="BR7" s="352" t="s">
        <v>424</v>
      </c>
      <c r="BS7" s="504" t="s">
        <v>418</v>
      </c>
      <c r="BT7" s="505"/>
      <c r="BU7" s="505"/>
      <c r="BV7" s="505"/>
      <c r="BW7" s="505"/>
      <c r="BX7" s="505"/>
      <c r="BY7" s="505"/>
      <c r="BZ7" s="506"/>
    </row>
    <row r="8" spans="2:78" ht="27.75" customHeight="1" thickBot="1">
      <c r="B8" s="300" t="s">
        <v>360</v>
      </c>
      <c r="C8" s="201"/>
      <c r="D8" s="49">
        <f>Charges_compta_analytique!K29</f>
        <v>30000</v>
      </c>
      <c r="E8" s="23"/>
      <c r="F8" s="49">
        <f>D8</f>
        <v>30000</v>
      </c>
      <c r="G8" s="295"/>
      <c r="H8" s="470" t="str">
        <f>Charges_compta_analytique!B20</f>
        <v>Coût de stockage</v>
      </c>
      <c r="I8" s="471"/>
      <c r="J8" s="248"/>
      <c r="K8" s="201"/>
      <c r="L8" s="250">
        <f>Charges_compta_analytique!J20</f>
        <v>5928</v>
      </c>
      <c r="M8" s="248"/>
      <c r="N8" s="201"/>
      <c r="O8" s="250">
        <f>Charges_compta_analytique!J21</f>
        <v>0</v>
      </c>
      <c r="P8" s="248"/>
      <c r="Q8" s="201"/>
      <c r="R8" s="299">
        <f>Charges_compta_analytique!J22</f>
        <v>0</v>
      </c>
      <c r="T8" s="300" t="s">
        <v>360</v>
      </c>
      <c r="U8" s="201"/>
      <c r="V8" s="270">
        <f>Charges_compta_analytique!AC29</f>
        <v>0</v>
      </c>
      <c r="W8" s="28"/>
      <c r="X8" s="193">
        <f>V8</f>
        <v>0</v>
      </c>
      <c r="Y8" s="295"/>
      <c r="Z8" s="473" t="str">
        <f t="shared" ref="Z8:Z9" si="7">H8</f>
        <v>Coût de stockage</v>
      </c>
      <c r="AA8" s="473"/>
      <c r="AB8" s="248"/>
      <c r="AC8" s="201"/>
      <c r="AD8" s="250">
        <f>10%*W33</f>
        <v>19</v>
      </c>
      <c r="AE8" s="248"/>
      <c r="AF8" s="201"/>
      <c r="AG8" s="250">
        <f>0.1*W34</f>
        <v>0</v>
      </c>
      <c r="AH8" s="248"/>
      <c r="AI8" s="201"/>
      <c r="AJ8" s="299">
        <f>0.1*W35</f>
        <v>0</v>
      </c>
      <c r="AL8" s="300" t="s">
        <v>360</v>
      </c>
      <c r="AM8" s="201"/>
      <c r="AN8" s="234">
        <f t="shared" si="4"/>
        <v>0</v>
      </c>
      <c r="AO8" s="193">
        <f t="shared" si="5"/>
        <v>0</v>
      </c>
      <c r="AP8" s="50">
        <f t="shared" si="6"/>
        <v>0</v>
      </c>
      <c r="AQ8" s="295"/>
      <c r="AR8" s="473" t="str">
        <f t="shared" ref="AR8:AR9" si="8">Z8</f>
        <v>Coût de stockage</v>
      </c>
      <c r="AS8" s="473"/>
      <c r="AT8" s="248"/>
      <c r="AU8" s="201"/>
      <c r="AV8" s="250">
        <f>AD8</f>
        <v>19</v>
      </c>
      <c r="AW8" s="248"/>
      <c r="AX8" s="201"/>
      <c r="AY8" s="250">
        <f>AG8</f>
        <v>0</v>
      </c>
      <c r="AZ8" s="248"/>
      <c r="BA8" s="201"/>
      <c r="BB8" s="299">
        <f>AJ8</f>
        <v>0</v>
      </c>
      <c r="BD8" s="481"/>
      <c r="BE8" s="510"/>
      <c r="BF8" s="357" t="s">
        <v>134</v>
      </c>
      <c r="BG8" s="516" t="s">
        <v>425</v>
      </c>
      <c r="BH8" s="516"/>
      <c r="BI8" s="516"/>
      <c r="BJ8" s="516"/>
      <c r="BK8" s="516"/>
      <c r="BL8" s="516"/>
      <c r="BM8" s="516"/>
      <c r="BN8" s="517"/>
      <c r="BP8" s="481"/>
      <c r="BQ8" s="483"/>
      <c r="BR8" s="353" t="s">
        <v>134</v>
      </c>
      <c r="BS8" s="507" t="s">
        <v>417</v>
      </c>
      <c r="BT8" s="507"/>
      <c r="BU8" s="507"/>
      <c r="BV8" s="507"/>
      <c r="BW8" s="507"/>
      <c r="BX8" s="507"/>
      <c r="BY8" s="507"/>
      <c r="BZ8" s="508"/>
    </row>
    <row r="9" spans="2:78" ht="14.25" thickTop="1" thickBot="1">
      <c r="B9" s="300" t="s">
        <v>359</v>
      </c>
      <c r="C9" s="201"/>
      <c r="D9" s="49">
        <f>Charges_compta_analytique!K30</f>
        <v>70000</v>
      </c>
      <c r="E9" s="49">
        <f>D9</f>
        <v>70000</v>
      </c>
      <c r="F9" s="23"/>
      <c r="G9" s="295"/>
      <c r="H9" s="470" t="str">
        <f>Charges_compta_analytique!B23</f>
        <v>Dépréciation des stocks</v>
      </c>
      <c r="I9" s="471"/>
      <c r="J9" s="248"/>
      <c r="K9" s="201"/>
      <c r="L9" s="250">
        <f>Charges_compta_analytique!J23</f>
        <v>0</v>
      </c>
      <c r="M9" s="248"/>
      <c r="N9" s="201"/>
      <c r="O9" s="250">
        <f>Charges_compta_analytique!J24</f>
        <v>0</v>
      </c>
      <c r="P9" s="248"/>
      <c r="Q9" s="201"/>
      <c r="R9" s="299">
        <f>Charges_compta_analytique!J25</f>
        <v>0</v>
      </c>
      <c r="T9" s="300" t="s">
        <v>359</v>
      </c>
      <c r="U9" s="201"/>
      <c r="V9" s="270">
        <f>Charges_compta_analytique!AC30</f>
        <v>0</v>
      </c>
      <c r="W9" s="193">
        <f>V9</f>
        <v>0</v>
      </c>
      <c r="X9" s="28"/>
      <c r="Y9" s="295"/>
      <c r="Z9" s="473" t="str">
        <f t="shared" si="7"/>
        <v>Dépréciation des stocks</v>
      </c>
      <c r="AA9" s="473"/>
      <c r="AB9" s="248"/>
      <c r="AC9" s="201"/>
      <c r="AD9" s="250">
        <v>0</v>
      </c>
      <c r="AE9" s="248"/>
      <c r="AF9" s="201"/>
      <c r="AG9" s="250">
        <v>0</v>
      </c>
      <c r="AH9" s="248"/>
      <c r="AI9" s="201"/>
      <c r="AJ9" s="299">
        <v>0</v>
      </c>
      <c r="AL9" s="300" t="s">
        <v>359</v>
      </c>
      <c r="AM9" s="201"/>
      <c r="AN9" s="234">
        <f t="shared" si="4"/>
        <v>0</v>
      </c>
      <c r="AO9" s="193">
        <f t="shared" si="5"/>
        <v>0</v>
      </c>
      <c r="AP9" s="50">
        <f t="shared" si="6"/>
        <v>0</v>
      </c>
      <c r="AQ9" s="295"/>
      <c r="AR9" s="473" t="str">
        <f t="shared" si="8"/>
        <v>Dépréciation des stocks</v>
      </c>
      <c r="AS9" s="473"/>
      <c r="AT9" s="248"/>
      <c r="AU9" s="201"/>
      <c r="AV9" s="250">
        <v>0</v>
      </c>
      <c r="AW9" s="248"/>
      <c r="AX9" s="201"/>
      <c r="AY9" s="250">
        <v>0</v>
      </c>
      <c r="AZ9" s="248"/>
      <c r="BA9" s="201"/>
      <c r="BB9" s="299">
        <v>0</v>
      </c>
      <c r="BD9" s="347"/>
      <c r="BE9" s="348"/>
      <c r="BF9" s="348"/>
      <c r="BG9" s="348"/>
      <c r="BH9" s="348"/>
      <c r="BI9" s="348"/>
      <c r="BJ9" s="348"/>
      <c r="BK9" s="348"/>
      <c r="BL9" s="348"/>
      <c r="BM9" s="348"/>
      <c r="BN9" s="349"/>
      <c r="BP9" s="347"/>
      <c r="BQ9" s="348"/>
      <c r="BR9" s="348"/>
      <c r="BS9" s="348"/>
      <c r="BT9" s="348"/>
      <c r="BU9" s="348"/>
      <c r="BV9" s="348"/>
      <c r="BW9" s="348"/>
      <c r="BX9" s="348"/>
      <c r="BY9" s="348"/>
      <c r="BZ9" s="349"/>
    </row>
    <row r="10" spans="2:78" ht="15" customHeight="1" thickTop="1">
      <c r="B10" s="296" t="s">
        <v>49</v>
      </c>
      <c r="C10" s="201"/>
      <c r="D10" s="193">
        <f>Charges_compta_analytique!K32</f>
        <v>927</v>
      </c>
      <c r="E10" s="28"/>
      <c r="F10" s="193">
        <f>D10</f>
        <v>927</v>
      </c>
      <c r="G10" s="295"/>
      <c r="H10" s="443" t="s">
        <v>312</v>
      </c>
      <c r="I10" s="443"/>
      <c r="J10" s="248"/>
      <c r="K10" s="201"/>
      <c r="L10" s="201"/>
      <c r="M10" s="248"/>
      <c r="N10" s="201"/>
      <c r="O10" s="201"/>
      <c r="P10" s="248"/>
      <c r="Q10" s="201"/>
      <c r="R10" s="298"/>
      <c r="T10" s="296" t="s">
        <v>49</v>
      </c>
      <c r="U10" s="201"/>
      <c r="V10" s="270">
        <f>Charges_compta_analytique!AC32</f>
        <v>0</v>
      </c>
      <c r="W10" s="28"/>
      <c r="X10" s="193">
        <f>V10</f>
        <v>0</v>
      </c>
      <c r="Y10" s="295"/>
      <c r="Z10" s="443" t="s">
        <v>312</v>
      </c>
      <c r="AA10" s="443"/>
      <c r="AB10" s="248"/>
      <c r="AC10" s="201"/>
      <c r="AD10" s="201"/>
      <c r="AE10" s="248"/>
      <c r="AF10" s="201"/>
      <c r="AG10" s="201"/>
      <c r="AH10" s="248"/>
      <c r="AI10" s="201"/>
      <c r="AJ10" s="298"/>
      <c r="AL10" s="296" t="s">
        <v>49</v>
      </c>
      <c r="AM10" s="201"/>
      <c r="AN10" s="234">
        <f t="shared" si="4"/>
        <v>0</v>
      </c>
      <c r="AO10" s="193">
        <f t="shared" si="5"/>
        <v>0</v>
      </c>
      <c r="AP10" s="50">
        <f t="shared" si="6"/>
        <v>0</v>
      </c>
      <c r="AQ10" s="295"/>
      <c r="AR10" s="443" t="s">
        <v>312</v>
      </c>
      <c r="AS10" s="443"/>
      <c r="AT10" s="248"/>
      <c r="AU10" s="201"/>
      <c r="AV10" s="201"/>
      <c r="AW10" s="248"/>
      <c r="AX10" s="201"/>
      <c r="AY10" s="201"/>
      <c r="AZ10" s="248"/>
      <c r="BA10" s="201"/>
      <c r="BB10" s="298"/>
      <c r="BD10" s="526" t="s">
        <v>403</v>
      </c>
      <c r="BE10" s="527"/>
      <c r="BF10" s="527"/>
      <c r="BG10" s="527"/>
      <c r="BH10" s="527"/>
      <c r="BI10" s="527"/>
      <c r="BJ10" s="527"/>
      <c r="BK10" s="527"/>
      <c r="BL10" s="527"/>
      <c r="BM10" s="527"/>
      <c r="BN10" s="528"/>
      <c r="BP10" s="484" t="s">
        <v>427</v>
      </c>
      <c r="BQ10" s="485"/>
      <c r="BR10" s="485"/>
      <c r="BS10" s="485"/>
      <c r="BT10" s="485"/>
      <c r="BU10" s="485"/>
      <c r="BV10" s="485"/>
      <c r="BW10" s="485"/>
      <c r="BX10" s="485"/>
      <c r="BY10" s="485"/>
      <c r="BZ10" s="486"/>
    </row>
    <row r="11" spans="2:78" ht="12.75" customHeight="1">
      <c r="B11" s="296" t="s">
        <v>51</v>
      </c>
      <c r="C11" s="201"/>
      <c r="D11" s="193">
        <f>Charges_compta_analytique!K33</f>
        <v>0</v>
      </c>
      <c r="E11" s="28"/>
      <c r="F11" s="193">
        <f>D11</f>
        <v>0</v>
      </c>
      <c r="G11" s="295"/>
      <c r="H11" s="465" t="s">
        <v>31</v>
      </c>
      <c r="I11" s="465"/>
      <c r="J11" s="247">
        <f>J7</f>
        <v>2319</v>
      </c>
      <c r="K11" s="213">
        <f>L11/J11</f>
        <v>42.556274256144889</v>
      </c>
      <c r="L11" s="250">
        <f>SUM(L6:L10)</f>
        <v>98688</v>
      </c>
      <c r="M11" s="247">
        <f>M7</f>
        <v>0</v>
      </c>
      <c r="N11" s="213" t="e">
        <f>O11/M11</f>
        <v>#DIV/0!</v>
      </c>
      <c r="O11" s="250">
        <f>SUM(O6:O10)</f>
        <v>0</v>
      </c>
      <c r="P11" s="247">
        <f>P7</f>
        <v>0</v>
      </c>
      <c r="Q11" s="213" t="e">
        <f>R11/P11</f>
        <v>#DIV/0!</v>
      </c>
      <c r="R11" s="299">
        <f>SUM(R6:R10)</f>
        <v>0</v>
      </c>
      <c r="T11" s="296" t="s">
        <v>51</v>
      </c>
      <c r="U11" s="201"/>
      <c r="V11" s="270">
        <f>Charges_compta_analytique!AC33</f>
        <v>0</v>
      </c>
      <c r="W11" s="28"/>
      <c r="X11" s="193">
        <f>V11</f>
        <v>0</v>
      </c>
      <c r="Y11" s="295"/>
      <c r="Z11" s="465" t="s">
        <v>31</v>
      </c>
      <c r="AA11" s="465"/>
      <c r="AB11" s="247">
        <f>AB7</f>
        <v>0</v>
      </c>
      <c r="AC11" s="213" t="e">
        <f>AD11/AB11</f>
        <v>#DIV/0!</v>
      </c>
      <c r="AD11" s="250">
        <f>SUM(AD6:AD10)</f>
        <v>19</v>
      </c>
      <c r="AE11" s="247">
        <f>AE7</f>
        <v>0</v>
      </c>
      <c r="AF11" s="213" t="e">
        <f>AG11/AE11</f>
        <v>#DIV/0!</v>
      </c>
      <c r="AG11" s="250">
        <f>SUM(AG6:AG10)</f>
        <v>0</v>
      </c>
      <c r="AH11" s="247">
        <f>AH7</f>
        <v>0</v>
      </c>
      <c r="AI11" s="213" t="e">
        <f>AJ11/AH11</f>
        <v>#DIV/0!</v>
      </c>
      <c r="AJ11" s="299">
        <f>SUM(AJ6:AJ10)</f>
        <v>0</v>
      </c>
      <c r="AL11" s="296" t="s">
        <v>51</v>
      </c>
      <c r="AM11" s="201"/>
      <c r="AN11" s="234">
        <f t="shared" si="4"/>
        <v>0</v>
      </c>
      <c r="AO11" s="193">
        <f t="shared" si="5"/>
        <v>0</v>
      </c>
      <c r="AP11" s="50">
        <f t="shared" si="6"/>
        <v>0</v>
      </c>
      <c r="AQ11" s="295"/>
      <c r="AR11" s="465" t="s">
        <v>31</v>
      </c>
      <c r="AS11" s="465"/>
      <c r="AT11" s="247">
        <f>AT7</f>
        <v>2319</v>
      </c>
      <c r="AU11" s="213">
        <f>AV11/AT11</f>
        <v>40.008193186718415</v>
      </c>
      <c r="AV11" s="250">
        <f>SUM(AV6:AV10)</f>
        <v>92779</v>
      </c>
      <c r="AW11" s="247">
        <f>AW7</f>
        <v>0</v>
      </c>
      <c r="AX11" s="213" t="e">
        <f>AY11/AW11</f>
        <v>#DIV/0!</v>
      </c>
      <c r="AY11" s="250">
        <f>SUM(AY6:AY10)</f>
        <v>0</v>
      </c>
      <c r="AZ11" s="247">
        <f>AZ7</f>
        <v>0</v>
      </c>
      <c r="BA11" s="213" t="e">
        <f>BB11/AZ11</f>
        <v>#DIV/0!</v>
      </c>
      <c r="BB11" s="299">
        <f>SUM(BB6:BB10)</f>
        <v>0</v>
      </c>
      <c r="BD11" s="345"/>
      <c r="BE11" s="292"/>
      <c r="BF11" s="518" t="str">
        <f>AT4</f>
        <v>Matières pour le Scooter G1</v>
      </c>
      <c r="BG11" s="519"/>
      <c r="BH11" s="529"/>
      <c r="BI11" s="518" t="str">
        <f>AW4</f>
        <v>Matières pour le Scooter G2</v>
      </c>
      <c r="BJ11" s="519"/>
      <c r="BK11" s="529"/>
      <c r="BL11" s="518" t="str">
        <f>AZ4</f>
        <v>Matières pour le Scooter G3</v>
      </c>
      <c r="BM11" s="519"/>
      <c r="BN11" s="520"/>
      <c r="BP11" s="487"/>
      <c r="BQ11" s="488"/>
      <c r="BR11" s="488"/>
      <c r="BS11" s="488"/>
      <c r="BT11" s="488"/>
      <c r="BU11" s="488"/>
      <c r="BV11" s="488"/>
      <c r="BW11" s="488"/>
      <c r="BX11" s="488"/>
      <c r="BY11" s="488"/>
      <c r="BZ11" s="489"/>
    </row>
    <row r="12" spans="2:78" ht="42" customHeight="1" thickBot="1">
      <c r="B12" s="296" t="s">
        <v>321</v>
      </c>
      <c r="C12" s="201"/>
      <c r="D12" s="193">
        <f>Charges_compta_analytique!K34</f>
        <v>0</v>
      </c>
      <c r="E12" s="28"/>
      <c r="F12" s="193">
        <f>D12</f>
        <v>0</v>
      </c>
      <c r="G12" s="295"/>
      <c r="H12" s="295"/>
      <c r="I12" s="295"/>
      <c r="J12" s="295"/>
      <c r="K12" s="295"/>
      <c r="L12" s="295"/>
      <c r="M12" s="301"/>
      <c r="N12" s="301"/>
      <c r="O12" s="301"/>
      <c r="P12" s="301"/>
      <c r="Q12" s="301"/>
      <c r="R12" s="302"/>
      <c r="T12" s="296" t="s">
        <v>321</v>
      </c>
      <c r="U12" s="201"/>
      <c r="V12" s="270">
        <f>Charges_compta_analytique!AC34</f>
        <v>0</v>
      </c>
      <c r="W12" s="28"/>
      <c r="X12" s="193">
        <f>V12</f>
        <v>0</v>
      </c>
      <c r="Y12" s="295"/>
      <c r="Z12" s="295"/>
      <c r="AA12" s="295"/>
      <c r="AB12" s="295"/>
      <c r="AC12" s="295"/>
      <c r="AD12" s="295"/>
      <c r="AE12" s="295"/>
      <c r="AF12" s="295"/>
      <c r="AG12" s="295"/>
      <c r="AH12" s="295"/>
      <c r="AI12" s="295"/>
      <c r="AJ12" s="321"/>
      <c r="AL12" s="296" t="s">
        <v>321</v>
      </c>
      <c r="AM12" s="201"/>
      <c r="AN12" s="234">
        <f t="shared" si="4"/>
        <v>0</v>
      </c>
      <c r="AO12" s="193">
        <f t="shared" si="5"/>
        <v>0</v>
      </c>
      <c r="AP12" s="50">
        <f t="shared" si="6"/>
        <v>0</v>
      </c>
      <c r="AQ12" s="295"/>
      <c r="AR12" s="295"/>
      <c r="AS12" s="295"/>
      <c r="AT12" s="295"/>
      <c r="AU12" s="295"/>
      <c r="AV12" s="295"/>
      <c r="AW12" s="295"/>
      <c r="AX12" s="295"/>
      <c r="AY12" s="295"/>
      <c r="AZ12" s="295"/>
      <c r="BA12" s="295"/>
      <c r="BB12" s="321"/>
      <c r="BD12" s="346"/>
      <c r="BE12" s="293"/>
      <c r="BF12" s="28" t="s">
        <v>411</v>
      </c>
      <c r="BG12" s="28" t="s">
        <v>412</v>
      </c>
      <c r="BH12" s="28" t="s">
        <v>413</v>
      </c>
      <c r="BI12" s="28" t="s">
        <v>411</v>
      </c>
      <c r="BJ12" s="28" t="s">
        <v>412</v>
      </c>
      <c r="BK12" s="28" t="s">
        <v>413</v>
      </c>
      <c r="BL12" s="28" t="s">
        <v>411</v>
      </c>
      <c r="BM12" s="28" t="s">
        <v>412</v>
      </c>
      <c r="BN12" s="297" t="s">
        <v>413</v>
      </c>
      <c r="BP12" s="490"/>
      <c r="BQ12" s="491"/>
      <c r="BR12" s="491"/>
      <c r="BS12" s="491"/>
      <c r="BT12" s="491"/>
      <c r="BU12" s="491"/>
      <c r="BV12" s="491"/>
      <c r="BW12" s="491"/>
      <c r="BX12" s="491"/>
      <c r="BY12" s="491"/>
      <c r="BZ12" s="492"/>
    </row>
    <row r="13" spans="2:78" ht="13.5" thickTop="1">
      <c r="B13" s="303" t="s">
        <v>132</v>
      </c>
      <c r="C13" s="201"/>
      <c r="D13" s="193">
        <f>Charges_compta_analytique!K42</f>
        <v>0</v>
      </c>
      <c r="E13" s="193">
        <f>D13</f>
        <v>0</v>
      </c>
      <c r="F13" s="28"/>
      <c r="G13" s="295"/>
      <c r="H13" s="447" t="s">
        <v>339</v>
      </c>
      <c r="I13" s="447"/>
      <c r="J13" s="447"/>
      <c r="K13" s="447"/>
      <c r="L13" s="447"/>
      <c r="M13" s="447"/>
      <c r="N13" s="447"/>
      <c r="O13" s="447"/>
      <c r="P13" s="447"/>
      <c r="Q13" s="447"/>
      <c r="R13" s="532"/>
      <c r="T13" s="303" t="s">
        <v>132</v>
      </c>
      <c r="U13" s="201"/>
      <c r="V13" s="270">
        <f>Charges_compta_analytique!AC42</f>
        <v>0</v>
      </c>
      <c r="W13" s="193">
        <f>V13</f>
        <v>0</v>
      </c>
      <c r="X13" s="28"/>
      <c r="Y13" s="295"/>
      <c r="Z13" s="447" t="s">
        <v>339</v>
      </c>
      <c r="AA13" s="447"/>
      <c r="AB13" s="447"/>
      <c r="AC13" s="447"/>
      <c r="AD13" s="447"/>
      <c r="AE13" s="447"/>
      <c r="AF13" s="447"/>
      <c r="AG13" s="447"/>
      <c r="AH13" s="447"/>
      <c r="AI13" s="447"/>
      <c r="AJ13" s="532"/>
      <c r="AL13" s="303" t="s">
        <v>132</v>
      </c>
      <c r="AM13" s="201"/>
      <c r="AN13" s="234">
        <f t="shared" si="4"/>
        <v>0</v>
      </c>
      <c r="AO13" s="193">
        <f t="shared" si="5"/>
        <v>0</v>
      </c>
      <c r="AP13" s="50">
        <f t="shared" si="6"/>
        <v>0</v>
      </c>
      <c r="AQ13" s="295"/>
      <c r="AR13" s="447" t="s">
        <v>339</v>
      </c>
      <c r="AS13" s="447"/>
      <c r="AT13" s="447"/>
      <c r="AU13" s="447"/>
      <c r="AV13" s="447"/>
      <c r="AW13" s="447"/>
      <c r="AX13" s="447"/>
      <c r="AY13" s="447"/>
      <c r="AZ13" s="447"/>
      <c r="BA13" s="447"/>
      <c r="BB13" s="532"/>
      <c r="BD13" s="522" t="s">
        <v>311</v>
      </c>
      <c r="BE13" s="443"/>
      <c r="BF13" s="201"/>
      <c r="BG13" s="201"/>
      <c r="BH13" s="201"/>
      <c r="BI13" s="201"/>
      <c r="BJ13" s="201"/>
      <c r="BK13" s="201"/>
      <c r="BL13" s="201"/>
      <c r="BM13" s="201"/>
      <c r="BN13" s="298"/>
    </row>
    <row r="14" spans="2:78">
      <c r="B14" s="304" t="s">
        <v>315</v>
      </c>
      <c r="C14" s="201"/>
      <c r="D14" s="193">
        <f>Charges_compta_analytique!K43</f>
        <v>0</v>
      </c>
      <c r="E14" s="193">
        <f>D14/2</f>
        <v>0</v>
      </c>
      <c r="F14" s="193">
        <f>D14/2</f>
        <v>0</v>
      </c>
      <c r="G14" s="295"/>
      <c r="H14" s="461"/>
      <c r="I14" s="462"/>
      <c r="J14" s="452" t="str">
        <f>Donnees_de_jeu!C6</f>
        <v>Scooter G1</v>
      </c>
      <c r="K14" s="453"/>
      <c r="L14" s="454"/>
      <c r="M14" s="452" t="str">
        <f>Donnees_de_jeu!C7</f>
        <v>Scooter G2</v>
      </c>
      <c r="N14" s="453"/>
      <c r="O14" s="454"/>
      <c r="P14" s="452" t="str">
        <f>Donnees_de_jeu!C8</f>
        <v>Scooter G3</v>
      </c>
      <c r="Q14" s="453"/>
      <c r="R14" s="544"/>
      <c r="T14" s="304" t="s">
        <v>315</v>
      </c>
      <c r="U14" s="201"/>
      <c r="V14" s="270">
        <f>Charges_compta_analytique!AC43</f>
        <v>0</v>
      </c>
      <c r="W14" s="193">
        <f>V14/2</f>
        <v>0</v>
      </c>
      <c r="X14" s="193">
        <f>V14/2</f>
        <v>0</v>
      </c>
      <c r="Y14" s="295"/>
      <c r="Z14" s="461"/>
      <c r="AA14" s="462"/>
      <c r="AB14" s="518" t="str">
        <f>J14</f>
        <v>Scooter G1</v>
      </c>
      <c r="AC14" s="519"/>
      <c r="AD14" s="529"/>
      <c r="AE14" s="518" t="str">
        <f t="shared" ref="AE14" si="9">M14</f>
        <v>Scooter G2</v>
      </c>
      <c r="AF14" s="519"/>
      <c r="AG14" s="529"/>
      <c r="AH14" s="518" t="str">
        <f t="shared" ref="AH14" si="10">P14</f>
        <v>Scooter G3</v>
      </c>
      <c r="AI14" s="519"/>
      <c r="AJ14" s="520"/>
      <c r="AL14" s="304" t="s">
        <v>315</v>
      </c>
      <c r="AM14" s="201"/>
      <c r="AN14" s="234">
        <f t="shared" si="4"/>
        <v>0</v>
      </c>
      <c r="AO14" s="193">
        <f t="shared" si="5"/>
        <v>0</v>
      </c>
      <c r="AP14" s="50">
        <f t="shared" si="6"/>
        <v>0</v>
      </c>
      <c r="AQ14" s="295"/>
      <c r="AR14" s="461"/>
      <c r="AS14" s="462"/>
      <c r="AT14" s="518" t="str">
        <f>AB14</f>
        <v>Scooter G1</v>
      </c>
      <c r="AU14" s="519"/>
      <c r="AV14" s="529"/>
      <c r="AW14" s="518" t="str">
        <f t="shared" ref="AW14" si="11">AE14</f>
        <v>Scooter G2</v>
      </c>
      <c r="AX14" s="519"/>
      <c r="AY14" s="529"/>
      <c r="AZ14" s="518" t="str">
        <f t="shared" ref="AZ14" si="12">AH14</f>
        <v>Scooter G3</v>
      </c>
      <c r="BA14" s="519"/>
      <c r="BB14" s="520"/>
      <c r="BD14" s="540" t="str">
        <f>AR7</f>
        <v>Achat de matières</v>
      </c>
      <c r="BE14" s="473"/>
      <c r="BF14" s="213">
        <f>AV7-AD7</f>
        <v>92760</v>
      </c>
      <c r="BG14" s="213">
        <f>L7-AV7</f>
        <v>0</v>
      </c>
      <c r="BH14" s="213">
        <f>IF(BF14+BG14=L7-AD7,BF14+BG14,"Erreur")</f>
        <v>92760</v>
      </c>
      <c r="BI14" s="213">
        <f>AY7-AG7</f>
        <v>0</v>
      </c>
      <c r="BJ14" s="213">
        <f>O7-AY7</f>
        <v>0</v>
      </c>
      <c r="BK14" s="213">
        <f>IF(BI14+BJ14=O7-AG7,BI14+BJ14,"Erreur")</f>
        <v>0</v>
      </c>
      <c r="BL14" s="213">
        <f>BB7-AJ7</f>
        <v>0</v>
      </c>
      <c r="BM14" s="213">
        <f>R7-BB7</f>
        <v>0</v>
      </c>
      <c r="BN14" s="307">
        <f>IF(BL14+BM14=R7-AJ7,BL14+BM14,"Erreur")</f>
        <v>0</v>
      </c>
    </row>
    <row r="15" spans="2:78" ht="12.75" customHeight="1">
      <c r="B15" s="305" t="s">
        <v>328</v>
      </c>
      <c r="C15" s="202"/>
      <c r="D15" s="202"/>
      <c r="E15" s="203">
        <f>SUM(E5:E14)</f>
        <v>318700</v>
      </c>
      <c r="F15" s="203">
        <f>SUM(F5:F14)</f>
        <v>30927</v>
      </c>
      <c r="G15" s="295"/>
      <c r="H15" s="463"/>
      <c r="I15" s="464"/>
      <c r="J15" s="28" t="s">
        <v>336</v>
      </c>
      <c r="K15" s="28" t="s">
        <v>337</v>
      </c>
      <c r="L15" s="28" t="s">
        <v>338</v>
      </c>
      <c r="M15" s="28" t="s">
        <v>336</v>
      </c>
      <c r="N15" s="28" t="s">
        <v>337</v>
      </c>
      <c r="O15" s="28" t="s">
        <v>338</v>
      </c>
      <c r="P15" s="28" t="s">
        <v>336</v>
      </c>
      <c r="Q15" s="28" t="s">
        <v>337</v>
      </c>
      <c r="R15" s="297" t="s">
        <v>338</v>
      </c>
      <c r="T15" s="305" t="s">
        <v>328</v>
      </c>
      <c r="U15" s="202"/>
      <c r="V15" s="202"/>
      <c r="W15" s="203">
        <f>SUM(W5:W14)</f>
        <v>0</v>
      </c>
      <c r="X15" s="203">
        <f>SUM(X5:X14)</f>
        <v>0</v>
      </c>
      <c r="Y15" s="295"/>
      <c r="Z15" s="463"/>
      <c r="AA15" s="464"/>
      <c r="AB15" s="28" t="s">
        <v>336</v>
      </c>
      <c r="AC15" s="28" t="s">
        <v>337</v>
      </c>
      <c r="AD15" s="28" t="s">
        <v>338</v>
      </c>
      <c r="AE15" s="28" t="s">
        <v>336</v>
      </c>
      <c r="AF15" s="28" t="s">
        <v>337</v>
      </c>
      <c r="AG15" s="28" t="s">
        <v>338</v>
      </c>
      <c r="AH15" s="28" t="s">
        <v>336</v>
      </c>
      <c r="AI15" s="28" t="s">
        <v>337</v>
      </c>
      <c r="AJ15" s="297" t="s">
        <v>338</v>
      </c>
      <c r="AL15" s="305" t="s">
        <v>328</v>
      </c>
      <c r="AM15" s="202"/>
      <c r="AN15" s="202"/>
      <c r="AO15" s="203">
        <f>SUM(AO5:AO14)</f>
        <v>0</v>
      </c>
      <c r="AP15" s="203">
        <f>SUM(AP5:AP14)</f>
        <v>0</v>
      </c>
      <c r="AQ15" s="295"/>
      <c r="AR15" s="463"/>
      <c r="AS15" s="464"/>
      <c r="AT15" s="28" t="s">
        <v>336</v>
      </c>
      <c r="AU15" s="28" t="s">
        <v>337</v>
      </c>
      <c r="AV15" s="28" t="s">
        <v>338</v>
      </c>
      <c r="AW15" s="28" t="s">
        <v>336</v>
      </c>
      <c r="AX15" s="28" t="s">
        <v>337</v>
      </c>
      <c r="AY15" s="28" t="s">
        <v>338</v>
      </c>
      <c r="AZ15" s="28" t="s">
        <v>336</v>
      </c>
      <c r="BA15" s="28" t="s">
        <v>337</v>
      </c>
      <c r="BB15" s="297" t="s">
        <v>338</v>
      </c>
      <c r="BD15" s="540" t="str">
        <f>AR8</f>
        <v>Coût de stockage</v>
      </c>
      <c r="BE15" s="473"/>
      <c r="BF15" s="213">
        <f>AV8-AD8</f>
        <v>0</v>
      </c>
      <c r="BG15" s="213">
        <f>L8-AV8</f>
        <v>5909</v>
      </c>
      <c r="BH15" s="213">
        <f>IF(BF15+BG15=L8-AD8,BF15+BG15,"Erreur")</f>
        <v>5909</v>
      </c>
      <c r="BI15" s="213">
        <f>AY8-AG8</f>
        <v>0</v>
      </c>
      <c r="BJ15" s="213">
        <f>O8-AY8</f>
        <v>0</v>
      </c>
      <c r="BK15" s="213">
        <f t="shared" ref="BK15:BK16" si="13">IF(BI15+BJ15=O8-AG8,BI15+BJ15,"Erreur")</f>
        <v>0</v>
      </c>
      <c r="BL15" s="213">
        <f>BB8-AJ8</f>
        <v>0</v>
      </c>
      <c r="BM15" s="213">
        <f>R8-BB8</f>
        <v>0</v>
      </c>
      <c r="BN15" s="307">
        <f t="shared" ref="BN15:BN16" si="14">IF(BL15+BM15=R8-AJ8,BL15+BM15,"Erreur")</f>
        <v>0</v>
      </c>
    </row>
    <row r="16" spans="2:78" ht="51">
      <c r="B16" s="306" t="s">
        <v>329</v>
      </c>
      <c r="C16" s="201"/>
      <c r="D16" s="201"/>
      <c r="E16" s="28" t="s">
        <v>82</v>
      </c>
      <c r="F16" s="28" t="s">
        <v>332</v>
      </c>
      <c r="G16" s="295"/>
      <c r="H16" s="466" t="s">
        <v>335</v>
      </c>
      <c r="I16" s="467"/>
      <c r="J16" s="247">
        <f>J11</f>
        <v>2319</v>
      </c>
      <c r="K16" s="213">
        <f t="shared" ref="K16:R16" si="15">K11</f>
        <v>42.556274256144889</v>
      </c>
      <c r="L16" s="213">
        <f t="shared" si="15"/>
        <v>98688</v>
      </c>
      <c r="M16" s="247">
        <f t="shared" si="15"/>
        <v>0</v>
      </c>
      <c r="N16" s="213" t="e">
        <f t="shared" si="15"/>
        <v>#DIV/0!</v>
      </c>
      <c r="O16" s="213">
        <f t="shared" si="15"/>
        <v>0</v>
      </c>
      <c r="P16" s="247">
        <f t="shared" si="15"/>
        <v>0</v>
      </c>
      <c r="Q16" s="213" t="e">
        <f t="shared" si="15"/>
        <v>#DIV/0!</v>
      </c>
      <c r="R16" s="307">
        <f t="shared" si="15"/>
        <v>0</v>
      </c>
      <c r="T16" s="306" t="s">
        <v>329</v>
      </c>
      <c r="U16" s="201"/>
      <c r="V16" s="201"/>
      <c r="W16" s="28" t="s">
        <v>82</v>
      </c>
      <c r="X16" s="28" t="s">
        <v>332</v>
      </c>
      <c r="Y16" s="295"/>
      <c r="Z16" s="466" t="s">
        <v>335</v>
      </c>
      <c r="AA16" s="467"/>
      <c r="AB16" s="247">
        <f>AB11</f>
        <v>0</v>
      </c>
      <c r="AC16" s="213" t="e">
        <f t="shared" ref="AC16:AJ16" si="16">AC11</f>
        <v>#DIV/0!</v>
      </c>
      <c r="AD16" s="213">
        <f>AD11</f>
        <v>19</v>
      </c>
      <c r="AE16" s="247">
        <f>AE11</f>
        <v>0</v>
      </c>
      <c r="AF16" s="213" t="e">
        <f t="shared" si="16"/>
        <v>#DIV/0!</v>
      </c>
      <c r="AG16" s="213">
        <f t="shared" si="16"/>
        <v>0</v>
      </c>
      <c r="AH16" s="247">
        <f t="shared" si="16"/>
        <v>0</v>
      </c>
      <c r="AI16" s="213" t="e">
        <f t="shared" si="16"/>
        <v>#DIV/0!</v>
      </c>
      <c r="AJ16" s="307">
        <f t="shared" si="16"/>
        <v>0</v>
      </c>
      <c r="AL16" s="306" t="s">
        <v>329</v>
      </c>
      <c r="AM16" s="201"/>
      <c r="AN16" s="201"/>
      <c r="AO16" s="28" t="s">
        <v>82</v>
      </c>
      <c r="AP16" s="28" t="s">
        <v>332</v>
      </c>
      <c r="AQ16" s="295"/>
      <c r="AR16" s="466" t="s">
        <v>335</v>
      </c>
      <c r="AS16" s="467"/>
      <c r="AT16" s="247">
        <f>AT11</f>
        <v>2319</v>
      </c>
      <c r="AU16" s="213">
        <f t="shared" ref="AU16:AV16" si="17">AU11</f>
        <v>40.008193186718415</v>
      </c>
      <c r="AV16" s="213">
        <f t="shared" si="17"/>
        <v>92779</v>
      </c>
      <c r="AW16" s="247">
        <f>AW11</f>
        <v>0</v>
      </c>
      <c r="AX16" s="213" t="e">
        <f t="shared" ref="AX16:BB16" si="18">AX11</f>
        <v>#DIV/0!</v>
      </c>
      <c r="AY16" s="213">
        <f t="shared" si="18"/>
        <v>0</v>
      </c>
      <c r="AZ16" s="247">
        <f t="shared" si="18"/>
        <v>0</v>
      </c>
      <c r="BA16" s="213" t="e">
        <f t="shared" si="18"/>
        <v>#DIV/0!</v>
      </c>
      <c r="BB16" s="307">
        <f t="shared" si="18"/>
        <v>0</v>
      </c>
      <c r="BD16" s="540" t="str">
        <f>AR9</f>
        <v>Dépréciation des stocks</v>
      </c>
      <c r="BE16" s="473"/>
      <c r="BF16" s="213">
        <f>AV9-AD9</f>
        <v>0</v>
      </c>
      <c r="BG16" s="213">
        <f>L9-AV9</f>
        <v>0</v>
      </c>
      <c r="BH16" s="213">
        <f>IF(BF16+BG16=L9-AD9,BF16+BG16,"Erreur")</f>
        <v>0</v>
      </c>
      <c r="BI16" s="213">
        <f>AY9-AG9</f>
        <v>0</v>
      </c>
      <c r="BJ16" s="213">
        <f>O9-AY9</f>
        <v>0</v>
      </c>
      <c r="BK16" s="213">
        <f t="shared" si="13"/>
        <v>0</v>
      </c>
      <c r="BL16" s="213">
        <f>BB9-AJ9</f>
        <v>0</v>
      </c>
      <c r="BM16" s="213">
        <f>R9-BB9</f>
        <v>0</v>
      </c>
      <c r="BN16" s="307">
        <f t="shared" si="14"/>
        <v>0</v>
      </c>
    </row>
    <row r="17" spans="2:66">
      <c r="B17" s="306" t="s">
        <v>330</v>
      </c>
      <c r="C17" s="201"/>
      <c r="D17" s="201"/>
      <c r="E17" s="28">
        <f>D29</f>
        <v>2319</v>
      </c>
      <c r="F17" s="193">
        <f>SUM(L48,O48,R48)</f>
        <v>440908</v>
      </c>
      <c r="G17" s="295"/>
      <c r="H17" s="443" t="s">
        <v>311</v>
      </c>
      <c r="I17" s="443"/>
      <c r="J17" s="248"/>
      <c r="K17" s="201"/>
      <c r="L17" s="201"/>
      <c r="M17" s="248"/>
      <c r="N17" s="201"/>
      <c r="O17" s="201"/>
      <c r="P17" s="248"/>
      <c r="Q17" s="201"/>
      <c r="R17" s="298"/>
      <c r="T17" s="306" t="s">
        <v>330</v>
      </c>
      <c r="U17" s="201"/>
      <c r="V17" s="201"/>
      <c r="W17" s="28">
        <f>V29</f>
        <v>0</v>
      </c>
      <c r="X17" s="193">
        <f>SUM(AD48,AG48,AJ48)</f>
        <v>19</v>
      </c>
      <c r="Y17" s="295"/>
      <c r="Z17" s="443" t="s">
        <v>311</v>
      </c>
      <c r="AA17" s="443"/>
      <c r="AB17" s="248"/>
      <c r="AC17" s="201"/>
      <c r="AD17" s="201"/>
      <c r="AE17" s="248"/>
      <c r="AF17" s="201"/>
      <c r="AG17" s="201"/>
      <c r="AH17" s="248"/>
      <c r="AI17" s="201"/>
      <c r="AJ17" s="298"/>
      <c r="AL17" s="306" t="s">
        <v>330</v>
      </c>
      <c r="AM17" s="201"/>
      <c r="AN17" s="201"/>
      <c r="AO17" s="28">
        <f>AN29</f>
        <v>2319</v>
      </c>
      <c r="AP17" s="193">
        <f>SUM(AV48,AY48,BB48)</f>
        <v>374999</v>
      </c>
      <c r="AQ17" s="295"/>
      <c r="AR17" s="443" t="s">
        <v>311</v>
      </c>
      <c r="AS17" s="443"/>
      <c r="AT17" s="248"/>
      <c r="AU17" s="201"/>
      <c r="AV17" s="201"/>
      <c r="AW17" s="248"/>
      <c r="AX17" s="201"/>
      <c r="AY17" s="201"/>
      <c r="AZ17" s="248"/>
      <c r="BA17" s="201"/>
      <c r="BB17" s="298"/>
      <c r="BD17" s="522" t="s">
        <v>312</v>
      </c>
      <c r="BE17" s="443"/>
      <c r="BF17" s="201"/>
      <c r="BG17" s="201"/>
      <c r="BH17" s="201"/>
      <c r="BI17" s="201"/>
      <c r="BJ17" s="201"/>
      <c r="BK17" s="201"/>
      <c r="BL17" s="201"/>
      <c r="BM17" s="201"/>
      <c r="BN17" s="298"/>
    </row>
    <row r="18" spans="2:66" ht="14.25" customHeight="1">
      <c r="B18" s="306" t="s">
        <v>331</v>
      </c>
      <c r="C18" s="201"/>
      <c r="D18" s="201"/>
      <c r="E18" s="257">
        <f>E15/E17</f>
        <v>137.42992669253988</v>
      </c>
      <c r="F18" s="257">
        <f>F15/F17</f>
        <v>7.0143884892086325E-2</v>
      </c>
      <c r="G18" s="295"/>
      <c r="H18" s="23" t="str">
        <f>Charges_compta_analytique!B8</f>
        <v>Frais fixes de production</v>
      </c>
      <c r="I18" s="23"/>
      <c r="J18" s="248"/>
      <c r="K18" s="201"/>
      <c r="L18" s="216">
        <f>Charges_compta_analytique!J8</f>
        <v>30000</v>
      </c>
      <c r="M18" s="248"/>
      <c r="N18" s="201"/>
      <c r="O18" s="216">
        <f>Charges_compta_analytique!J9</f>
        <v>0</v>
      </c>
      <c r="P18" s="248"/>
      <c r="Q18" s="201"/>
      <c r="R18" s="308">
        <f>Charges_compta_analytique!J10</f>
        <v>0</v>
      </c>
      <c r="T18" s="306" t="s">
        <v>331</v>
      </c>
      <c r="U18" s="201"/>
      <c r="V18" s="201"/>
      <c r="W18" s="257" t="e">
        <f>W15/W17</f>
        <v>#DIV/0!</v>
      </c>
      <c r="X18" s="257">
        <f>X15/X17</f>
        <v>0</v>
      </c>
      <c r="Y18" s="295"/>
      <c r="Z18" s="470" t="str">
        <f>H18</f>
        <v>Frais fixes de production</v>
      </c>
      <c r="AA18" s="471"/>
      <c r="AB18" s="248"/>
      <c r="AC18" s="201"/>
      <c r="AD18" s="250">
        <f>IF(V26&gt;0,30000,0)</f>
        <v>0</v>
      </c>
      <c r="AE18" s="248"/>
      <c r="AF18" s="201"/>
      <c r="AG18" s="250">
        <f>IF(V27&gt;0,70000,0)</f>
        <v>0</v>
      </c>
      <c r="AH18" s="248"/>
      <c r="AI18" s="201"/>
      <c r="AJ18" s="299">
        <f>IF(V28&gt;0,90000,0)</f>
        <v>0</v>
      </c>
      <c r="AL18" s="306" t="s">
        <v>331</v>
      </c>
      <c r="AM18" s="201"/>
      <c r="AN18" s="201"/>
      <c r="AO18" s="257">
        <f>AO15/AO17</f>
        <v>0</v>
      </c>
      <c r="AP18" s="257">
        <f>AP15/AP17</f>
        <v>0</v>
      </c>
      <c r="AQ18" s="295"/>
      <c r="AR18" s="470" t="str">
        <f>Z18</f>
        <v>Frais fixes de production</v>
      </c>
      <c r="AS18" s="471"/>
      <c r="AT18" s="248"/>
      <c r="AU18" s="201"/>
      <c r="AV18" s="250">
        <f>AD18</f>
        <v>0</v>
      </c>
      <c r="AW18" s="248"/>
      <c r="AX18" s="201"/>
      <c r="AY18" s="250">
        <f>AG18</f>
        <v>0</v>
      </c>
      <c r="AZ18" s="248"/>
      <c r="BA18" s="201"/>
      <c r="BB18" s="299">
        <f>AJ18</f>
        <v>0</v>
      </c>
      <c r="BD18" s="536" t="s">
        <v>31</v>
      </c>
      <c r="BE18" s="465"/>
      <c r="BF18" s="213">
        <f>AV11-AD11</f>
        <v>92760</v>
      </c>
      <c r="BG18" s="213">
        <f>L11-AV11</f>
        <v>5909</v>
      </c>
      <c r="BH18" s="213">
        <f>IF(BF18+BG18=L11-AD11,BF18+BG18,"Erreur")</f>
        <v>98669</v>
      </c>
      <c r="BI18" s="213">
        <f>AY11-AG11</f>
        <v>0</v>
      </c>
      <c r="BJ18" s="213">
        <f>O11-AY11</f>
        <v>0</v>
      </c>
      <c r="BK18" s="213">
        <f>IF(BI18+BJ18=O11-AG11,BI18+BJ18,"Erreur")</f>
        <v>0</v>
      </c>
      <c r="BL18" s="213">
        <f>BB11-AJ11</f>
        <v>0</v>
      </c>
      <c r="BM18" s="213">
        <f>R11-BB11</f>
        <v>0</v>
      </c>
      <c r="BN18" s="307">
        <f>IF(BL18+BM18=R11-AJ11,BL18+BM18,"Erreur")</f>
        <v>0</v>
      </c>
    </row>
    <row r="19" spans="2:66">
      <c r="B19" s="309"/>
      <c r="C19" s="301"/>
      <c r="D19" s="301"/>
      <c r="E19" s="301"/>
      <c r="F19" s="301"/>
      <c r="G19" s="295"/>
      <c r="H19" s="468" t="str">
        <f>Charges_compta_analytique!B17</f>
        <v>Budget qualité</v>
      </c>
      <c r="I19" s="469"/>
      <c r="J19" s="248"/>
      <c r="K19" s="201"/>
      <c r="L19" s="216">
        <f>Charges_compta_analytique!J17</f>
        <v>30000</v>
      </c>
      <c r="M19" s="248"/>
      <c r="N19" s="201"/>
      <c r="O19" s="216">
        <f>Charges_compta_analytique!J18</f>
        <v>0</v>
      </c>
      <c r="P19" s="248"/>
      <c r="Q19" s="201"/>
      <c r="R19" s="308">
        <f>Charges_compta_analytique!J19</f>
        <v>0</v>
      </c>
      <c r="T19" s="322"/>
      <c r="U19" s="295"/>
      <c r="V19" s="295"/>
      <c r="W19" s="295"/>
      <c r="X19" s="295"/>
      <c r="Y19" s="295"/>
      <c r="Z19" s="470" t="str">
        <f>H19</f>
        <v>Budget qualité</v>
      </c>
      <c r="AA19" s="471"/>
      <c r="AB19" s="248"/>
      <c r="AC19" s="201"/>
      <c r="AD19" s="190">
        <f>V40</f>
        <v>0</v>
      </c>
      <c r="AE19" s="248"/>
      <c r="AF19" s="201"/>
      <c r="AG19" s="190">
        <f>V41</f>
        <v>0</v>
      </c>
      <c r="AH19" s="248"/>
      <c r="AI19" s="201"/>
      <c r="AJ19" s="360">
        <f>V42</f>
        <v>0</v>
      </c>
      <c r="AL19" s="322"/>
      <c r="AM19" s="295"/>
      <c r="AN19" s="295"/>
      <c r="AO19" s="295"/>
      <c r="AP19" s="295"/>
      <c r="AQ19" s="295"/>
      <c r="AR19" s="470" t="str">
        <f>Z19</f>
        <v>Budget qualité</v>
      </c>
      <c r="AS19" s="471"/>
      <c r="AT19" s="248"/>
      <c r="AU19" s="201"/>
      <c r="AV19" s="234">
        <f>AD19</f>
        <v>0</v>
      </c>
      <c r="AW19" s="248"/>
      <c r="AX19" s="201"/>
      <c r="AY19" s="234">
        <f>AG19</f>
        <v>0</v>
      </c>
      <c r="AZ19" s="248"/>
      <c r="BA19" s="201"/>
      <c r="BB19" s="342">
        <f>AJ19</f>
        <v>0</v>
      </c>
      <c r="BD19" s="309"/>
      <c r="BE19" s="301"/>
      <c r="BF19" s="301"/>
      <c r="BG19" s="301"/>
      <c r="BH19" s="301"/>
      <c r="BI19" s="301"/>
      <c r="BJ19" s="301"/>
      <c r="BK19" s="301"/>
      <c r="BL19" s="301"/>
      <c r="BM19" s="301"/>
      <c r="BN19" s="302"/>
    </row>
    <row r="20" spans="2:66">
      <c r="B20" s="309"/>
      <c r="C20" s="301"/>
      <c r="D20" s="301"/>
      <c r="E20" s="301"/>
      <c r="F20" s="301"/>
      <c r="G20" s="301"/>
      <c r="H20" s="443" t="s">
        <v>312</v>
      </c>
      <c r="I20" s="443"/>
      <c r="J20" s="248"/>
      <c r="K20" s="201"/>
      <c r="L20" s="201"/>
      <c r="M20" s="248"/>
      <c r="N20" s="201"/>
      <c r="O20" s="201"/>
      <c r="P20" s="248"/>
      <c r="Q20" s="201"/>
      <c r="R20" s="298"/>
      <c r="T20" s="322"/>
      <c r="U20" s="295"/>
      <c r="V20" s="295"/>
      <c r="W20" s="295"/>
      <c r="X20" s="295"/>
      <c r="Y20" s="295"/>
      <c r="Z20" s="443" t="s">
        <v>312</v>
      </c>
      <c r="AA20" s="443"/>
      <c r="AB20" s="248"/>
      <c r="AC20" s="201"/>
      <c r="AD20" s="201"/>
      <c r="AE20" s="248"/>
      <c r="AF20" s="201"/>
      <c r="AG20" s="201"/>
      <c r="AH20" s="248"/>
      <c r="AI20" s="201"/>
      <c r="AJ20" s="298"/>
      <c r="AL20" s="322"/>
      <c r="AM20" s="295"/>
      <c r="AN20" s="295"/>
      <c r="AO20" s="295"/>
      <c r="AP20" s="295"/>
      <c r="AQ20" s="295"/>
      <c r="AR20" s="443" t="s">
        <v>312</v>
      </c>
      <c r="AS20" s="443"/>
      <c r="AT20" s="248"/>
      <c r="AU20" s="201"/>
      <c r="AV20" s="201"/>
      <c r="AW20" s="248"/>
      <c r="AX20" s="201"/>
      <c r="AY20" s="201"/>
      <c r="AZ20" s="248"/>
      <c r="BA20" s="201"/>
      <c r="BB20" s="298"/>
      <c r="BD20" s="531" t="s">
        <v>404</v>
      </c>
      <c r="BE20" s="447"/>
      <c r="BF20" s="447"/>
      <c r="BG20" s="447"/>
      <c r="BH20" s="447"/>
      <c r="BI20" s="447"/>
      <c r="BJ20" s="447"/>
      <c r="BK20" s="447"/>
      <c r="BL20" s="447"/>
      <c r="BM20" s="447"/>
      <c r="BN20" s="532"/>
    </row>
    <row r="21" spans="2:66">
      <c r="B21" s="309"/>
      <c r="C21" s="301"/>
      <c r="D21" s="301"/>
      <c r="E21" s="301"/>
      <c r="F21" s="301"/>
      <c r="G21" s="301"/>
      <c r="H21" s="468" t="s">
        <v>325</v>
      </c>
      <c r="I21" s="469"/>
      <c r="J21" s="251">
        <f>D26</f>
        <v>2319</v>
      </c>
      <c r="K21" s="95">
        <f>$E$18</f>
        <v>137.42992669253988</v>
      </c>
      <c r="L21" s="95">
        <f>J21*K21</f>
        <v>318700</v>
      </c>
      <c r="M21" s="251">
        <f>D27</f>
        <v>0</v>
      </c>
      <c r="N21" s="95">
        <f>$E$18</f>
        <v>137.42992669253988</v>
      </c>
      <c r="O21" s="95">
        <f>M21*N21</f>
        <v>0</v>
      </c>
      <c r="P21" s="251">
        <f>D28</f>
        <v>0</v>
      </c>
      <c r="Q21" s="95">
        <f>$E$18</f>
        <v>137.42992669253988</v>
      </c>
      <c r="R21" s="336">
        <f>P21*Q21</f>
        <v>0</v>
      </c>
      <c r="T21" s="322"/>
      <c r="U21" s="295"/>
      <c r="V21" s="295"/>
      <c r="W21" s="295"/>
      <c r="X21" s="295"/>
      <c r="Y21" s="295"/>
      <c r="Z21" s="470" t="s">
        <v>325</v>
      </c>
      <c r="AA21" s="471"/>
      <c r="AB21" s="323">
        <f>V26</f>
        <v>0</v>
      </c>
      <c r="AC21" s="187">
        <f>$E$18</f>
        <v>137.42992669253988</v>
      </c>
      <c r="AD21" s="187">
        <f>AB21*AC21</f>
        <v>0</v>
      </c>
      <c r="AE21" s="323">
        <f>V27</f>
        <v>0</v>
      </c>
      <c r="AF21" s="187">
        <f>$E$18</f>
        <v>137.42992669253988</v>
      </c>
      <c r="AG21" s="187">
        <f>AE21*AF21</f>
        <v>0</v>
      </c>
      <c r="AH21" s="323">
        <f>V28</f>
        <v>0</v>
      </c>
      <c r="AI21" s="187">
        <f>$E$18</f>
        <v>137.42992669253988</v>
      </c>
      <c r="AJ21" s="339">
        <f>AH21*AI21</f>
        <v>0</v>
      </c>
      <c r="AL21" s="322"/>
      <c r="AM21" s="295"/>
      <c r="AN21" s="295"/>
      <c r="AO21" s="295"/>
      <c r="AP21" s="295"/>
      <c r="AQ21" s="295"/>
      <c r="AR21" s="470" t="s">
        <v>325</v>
      </c>
      <c r="AS21" s="471"/>
      <c r="AT21" s="323">
        <f>AN26</f>
        <v>2319</v>
      </c>
      <c r="AU21" s="187">
        <f>$E$18</f>
        <v>137.42992669253988</v>
      </c>
      <c r="AV21" s="187">
        <f>AT21*AU21</f>
        <v>318700</v>
      </c>
      <c r="AW21" s="323">
        <f>AN27</f>
        <v>0</v>
      </c>
      <c r="AX21" s="187">
        <f>$E$18</f>
        <v>137.42992669253988</v>
      </c>
      <c r="AY21" s="187">
        <f>AW21*AX21</f>
        <v>0</v>
      </c>
      <c r="AZ21" s="323">
        <f>AN28</f>
        <v>0</v>
      </c>
      <c r="BA21" s="187">
        <f>$E$18</f>
        <v>137.42992669253988</v>
      </c>
      <c r="BB21" s="339">
        <f>AZ21*BA21</f>
        <v>0</v>
      </c>
      <c r="BD21" s="537"/>
      <c r="BE21" s="462"/>
      <c r="BF21" s="518" t="str">
        <f>AT14</f>
        <v>Scooter G1</v>
      </c>
      <c r="BG21" s="519"/>
      <c r="BH21" s="529"/>
      <c r="BI21" s="518" t="str">
        <f t="shared" ref="BI21" si="19">AW14</f>
        <v>Scooter G2</v>
      </c>
      <c r="BJ21" s="519"/>
      <c r="BK21" s="529"/>
      <c r="BL21" s="518" t="str">
        <f t="shared" ref="BL21" si="20">AZ14</f>
        <v>Scooter G3</v>
      </c>
      <c r="BM21" s="519"/>
      <c r="BN21" s="520"/>
    </row>
    <row r="22" spans="2:66" ht="38.25">
      <c r="B22" s="309"/>
      <c r="C22" s="301"/>
      <c r="D22" s="301"/>
      <c r="E22" s="301"/>
      <c r="F22" s="301"/>
      <c r="G22" s="301"/>
      <c r="H22" s="465" t="s">
        <v>31</v>
      </c>
      <c r="I22" s="465"/>
      <c r="J22" s="247">
        <f>J21</f>
        <v>2319</v>
      </c>
      <c r="K22" s="213">
        <f>L22/J22</f>
        <v>205.85942216472617</v>
      </c>
      <c r="L22" s="250">
        <f>SUM(L16:L21)</f>
        <v>477388</v>
      </c>
      <c r="M22" s="247">
        <f>M21</f>
        <v>0</v>
      </c>
      <c r="N22" s="213" t="e">
        <f>O22/M22</f>
        <v>#DIV/0!</v>
      </c>
      <c r="O22" s="250">
        <f>SUM(O16:O21)</f>
        <v>0</v>
      </c>
      <c r="P22" s="247">
        <f>P21</f>
        <v>0</v>
      </c>
      <c r="Q22" s="213" t="e">
        <f>R22/P22</f>
        <v>#DIV/0!</v>
      </c>
      <c r="R22" s="331">
        <f>SUM(R16:R21)</f>
        <v>0</v>
      </c>
      <c r="S22" s="332"/>
      <c r="T22" s="295"/>
      <c r="U22" s="295"/>
      <c r="V22" s="295"/>
      <c r="W22" s="295"/>
      <c r="X22" s="295"/>
      <c r="Y22" s="295"/>
      <c r="Z22" s="465" t="s">
        <v>31</v>
      </c>
      <c r="AA22" s="465"/>
      <c r="AB22" s="247">
        <f>AB21</f>
        <v>0</v>
      </c>
      <c r="AC22" s="213" t="e">
        <f>AD22/AB22</f>
        <v>#DIV/0!</v>
      </c>
      <c r="AD22" s="250">
        <f>SUM(AD16:AD21)</f>
        <v>19</v>
      </c>
      <c r="AE22" s="247">
        <f>AE21</f>
        <v>0</v>
      </c>
      <c r="AF22" s="213" t="e">
        <f>AG22/AE22</f>
        <v>#DIV/0!</v>
      </c>
      <c r="AG22" s="250">
        <f>SUM(AG16:AG21)</f>
        <v>0</v>
      </c>
      <c r="AH22" s="247">
        <f>AH21</f>
        <v>0</v>
      </c>
      <c r="AI22" s="213" t="e">
        <f>AJ22/AH22</f>
        <v>#DIV/0!</v>
      </c>
      <c r="AJ22" s="299">
        <f>SUM(AJ16:AJ21)</f>
        <v>0</v>
      </c>
      <c r="AL22" s="322"/>
      <c r="AM22" s="295"/>
      <c r="AN22" s="295"/>
      <c r="AO22" s="295"/>
      <c r="AP22" s="295"/>
      <c r="AQ22" s="295"/>
      <c r="AR22" s="465" t="s">
        <v>31</v>
      </c>
      <c r="AS22" s="465"/>
      <c r="AT22" s="247">
        <f>AT21</f>
        <v>2319</v>
      </c>
      <c r="AU22" s="213">
        <f>AV22/AT22</f>
        <v>177.43811987925829</v>
      </c>
      <c r="AV22" s="250">
        <f>SUM(AV16:AV21)</f>
        <v>411479</v>
      </c>
      <c r="AW22" s="247">
        <f>AW21</f>
        <v>0</v>
      </c>
      <c r="AX22" s="213" t="e">
        <f>AY22/AW22</f>
        <v>#DIV/0!</v>
      </c>
      <c r="AY22" s="250">
        <f>SUM(AY16:AY21)</f>
        <v>0</v>
      </c>
      <c r="AZ22" s="247">
        <f>AZ21</f>
        <v>0</v>
      </c>
      <c r="BA22" s="213" t="e">
        <f>BB22/AZ22</f>
        <v>#DIV/0!</v>
      </c>
      <c r="BB22" s="299">
        <f>SUM(BB16:BB21)</f>
        <v>0</v>
      </c>
      <c r="BD22" s="538"/>
      <c r="BE22" s="464"/>
      <c r="BF22" s="28" t="s">
        <v>411</v>
      </c>
      <c r="BG22" s="28" t="s">
        <v>412</v>
      </c>
      <c r="BH22" s="28" t="s">
        <v>413</v>
      </c>
      <c r="BI22" s="28" t="s">
        <v>411</v>
      </c>
      <c r="BJ22" s="28" t="s">
        <v>412</v>
      </c>
      <c r="BK22" s="28" t="s">
        <v>413</v>
      </c>
      <c r="BL22" s="28" t="s">
        <v>411</v>
      </c>
      <c r="BM22" s="28" t="s">
        <v>412</v>
      </c>
      <c r="BN22" s="297" t="s">
        <v>413</v>
      </c>
    </row>
    <row r="23" spans="2:66">
      <c r="B23" s="309"/>
      <c r="C23" s="301"/>
      <c r="D23" s="301"/>
      <c r="E23" s="301"/>
      <c r="F23" s="301"/>
      <c r="G23" s="301"/>
      <c r="H23" s="301"/>
      <c r="I23" s="301"/>
      <c r="J23" s="310"/>
      <c r="K23" s="301"/>
      <c r="L23" s="301"/>
      <c r="M23" s="301"/>
      <c r="N23" s="301"/>
      <c r="O23" s="301"/>
      <c r="P23" s="301"/>
      <c r="Q23" s="301"/>
      <c r="R23" s="302"/>
      <c r="T23" s="322"/>
      <c r="U23" s="295"/>
      <c r="V23" s="295"/>
      <c r="W23" s="295"/>
      <c r="X23" s="295"/>
      <c r="Y23" s="295"/>
      <c r="Z23" s="295"/>
      <c r="AA23" s="295"/>
      <c r="AB23" s="324"/>
      <c r="AC23" s="295"/>
      <c r="AD23" s="295"/>
      <c r="AE23" s="295"/>
      <c r="AF23" s="295"/>
      <c r="AG23" s="295"/>
      <c r="AH23" s="295"/>
      <c r="AI23" s="295"/>
      <c r="AJ23" s="321"/>
      <c r="AL23" s="322"/>
      <c r="AM23" s="295"/>
      <c r="AN23" s="295"/>
      <c r="AO23" s="295"/>
      <c r="AP23" s="295"/>
      <c r="AQ23" s="295"/>
      <c r="AR23" s="295"/>
      <c r="AS23" s="295"/>
      <c r="AT23" s="324"/>
      <c r="AU23" s="295"/>
      <c r="AV23" s="295"/>
      <c r="AW23" s="295"/>
      <c r="AX23" s="295"/>
      <c r="AY23" s="295"/>
      <c r="AZ23" s="295"/>
      <c r="BA23" s="295"/>
      <c r="BB23" s="321"/>
      <c r="BD23" s="539" t="s">
        <v>335</v>
      </c>
      <c r="BE23" s="467"/>
      <c r="BF23" s="213">
        <f>BF18</f>
        <v>92760</v>
      </c>
      <c r="BG23" s="213">
        <f t="shared" ref="BG23:BN23" si="21">BG18</f>
        <v>5909</v>
      </c>
      <c r="BH23" s="213">
        <f t="shared" si="21"/>
        <v>98669</v>
      </c>
      <c r="BI23" s="213">
        <f>BI18</f>
        <v>0</v>
      </c>
      <c r="BJ23" s="213">
        <f t="shared" si="21"/>
        <v>0</v>
      </c>
      <c r="BK23" s="213">
        <f t="shared" si="21"/>
        <v>0</v>
      </c>
      <c r="BL23" s="213">
        <f t="shared" si="21"/>
        <v>0</v>
      </c>
      <c r="BM23" s="213">
        <f t="shared" si="21"/>
        <v>0</v>
      </c>
      <c r="BN23" s="307">
        <f t="shared" si="21"/>
        <v>0</v>
      </c>
    </row>
    <row r="24" spans="2:66">
      <c r="B24" s="309"/>
      <c r="C24" s="474" t="s">
        <v>401</v>
      </c>
      <c r="D24" s="475"/>
      <c r="E24" s="476"/>
      <c r="F24" s="301"/>
      <c r="G24" s="457" t="s">
        <v>348</v>
      </c>
      <c r="H24" s="460" t="str">
        <f>CONCATENATE("Stock de ",Donnees_de_jeu!C6)</f>
        <v>Stock de Scooter G1</v>
      </c>
      <c r="I24" s="460"/>
      <c r="J24" s="460"/>
      <c r="K24" s="460"/>
      <c r="L24" s="460"/>
      <c r="M24" s="460"/>
      <c r="N24" s="460"/>
      <c r="O24" s="460"/>
      <c r="P24" s="301"/>
      <c r="Q24" s="301"/>
      <c r="R24" s="302"/>
      <c r="T24" s="322"/>
      <c r="U24" s="474" t="s">
        <v>400</v>
      </c>
      <c r="V24" s="475"/>
      <c r="W24" s="476"/>
      <c r="X24" s="295"/>
      <c r="Y24" s="552" t="s">
        <v>348</v>
      </c>
      <c r="Z24" s="553" t="str">
        <f>H24</f>
        <v>Stock de Scooter G1</v>
      </c>
      <c r="AA24" s="553"/>
      <c r="AB24" s="553"/>
      <c r="AC24" s="553"/>
      <c r="AD24" s="553"/>
      <c r="AE24" s="553"/>
      <c r="AF24" s="553"/>
      <c r="AG24" s="553"/>
      <c r="AH24" s="295"/>
      <c r="AI24" s="295"/>
      <c r="AJ24" s="321"/>
      <c r="AL24" s="322"/>
      <c r="AM24" s="474" t="str">
        <f>C24</f>
        <v>Quantités constatées (rappel)</v>
      </c>
      <c r="AN24" s="475"/>
      <c r="AO24" s="476"/>
      <c r="AP24" s="295"/>
      <c r="AQ24" s="552" t="s">
        <v>348</v>
      </c>
      <c r="AR24" s="553" t="str">
        <f>Z24</f>
        <v>Stock de Scooter G1</v>
      </c>
      <c r="AS24" s="553"/>
      <c r="AT24" s="553"/>
      <c r="AU24" s="553"/>
      <c r="AV24" s="553"/>
      <c r="AW24" s="553"/>
      <c r="AX24" s="553"/>
      <c r="AY24" s="553"/>
      <c r="AZ24" s="295"/>
      <c r="BA24" s="295"/>
      <c r="BB24" s="321"/>
      <c r="BD24" s="522" t="s">
        <v>311</v>
      </c>
      <c r="BE24" s="443"/>
      <c r="BF24" s="248"/>
      <c r="BG24" s="201"/>
      <c r="BH24" s="201"/>
      <c r="BI24" s="248"/>
      <c r="BJ24" s="201"/>
      <c r="BK24" s="201"/>
      <c r="BL24" s="248"/>
      <c r="BM24" s="201"/>
      <c r="BN24" s="298"/>
    </row>
    <row r="25" spans="2:66" ht="25.5">
      <c r="B25" s="309"/>
      <c r="C25" s="28"/>
      <c r="D25" s="28" t="s">
        <v>325</v>
      </c>
      <c r="E25" s="28" t="s">
        <v>37</v>
      </c>
      <c r="F25" s="301"/>
      <c r="G25" s="457"/>
      <c r="H25" s="23" t="s">
        <v>340</v>
      </c>
      <c r="I25" s="23" t="s">
        <v>341</v>
      </c>
      <c r="J25" s="23" t="s">
        <v>347</v>
      </c>
      <c r="K25" s="23" t="s">
        <v>338</v>
      </c>
      <c r="L25" s="23" t="s">
        <v>340</v>
      </c>
      <c r="M25" s="23" t="s">
        <v>341</v>
      </c>
      <c r="N25" s="23" t="s">
        <v>347</v>
      </c>
      <c r="O25" s="23" t="s">
        <v>338</v>
      </c>
      <c r="P25" s="301"/>
      <c r="Q25" s="301"/>
      <c r="R25" s="302"/>
      <c r="T25" s="322"/>
      <c r="U25" s="28"/>
      <c r="V25" s="28" t="s">
        <v>325</v>
      </c>
      <c r="W25" s="28" t="s">
        <v>37</v>
      </c>
      <c r="X25" s="295"/>
      <c r="Y25" s="552"/>
      <c r="Z25" s="28" t="s">
        <v>340</v>
      </c>
      <c r="AA25" s="28" t="s">
        <v>341</v>
      </c>
      <c r="AB25" s="28" t="s">
        <v>347</v>
      </c>
      <c r="AC25" s="28" t="s">
        <v>338</v>
      </c>
      <c r="AD25" s="28" t="s">
        <v>340</v>
      </c>
      <c r="AE25" s="28" t="s">
        <v>341</v>
      </c>
      <c r="AF25" s="28" t="s">
        <v>347</v>
      </c>
      <c r="AG25" s="28" t="s">
        <v>338</v>
      </c>
      <c r="AH25" s="295"/>
      <c r="AI25" s="295"/>
      <c r="AJ25" s="321"/>
      <c r="AL25" s="322"/>
      <c r="AM25" s="28"/>
      <c r="AN25" s="28" t="s">
        <v>325</v>
      </c>
      <c r="AO25" s="28" t="s">
        <v>37</v>
      </c>
      <c r="AP25" s="295"/>
      <c r="AQ25" s="552"/>
      <c r="AR25" s="28" t="s">
        <v>340</v>
      </c>
      <c r="AS25" s="28" t="s">
        <v>341</v>
      </c>
      <c r="AT25" s="28" t="s">
        <v>347</v>
      </c>
      <c r="AU25" s="28" t="s">
        <v>338</v>
      </c>
      <c r="AV25" s="28" t="s">
        <v>340</v>
      </c>
      <c r="AW25" s="28" t="s">
        <v>341</v>
      </c>
      <c r="AX25" s="28" t="s">
        <v>347</v>
      </c>
      <c r="AY25" s="28" t="s">
        <v>338</v>
      </c>
      <c r="AZ25" s="295"/>
      <c r="BA25" s="295"/>
      <c r="BB25" s="321"/>
      <c r="BD25" s="535" t="str">
        <f>AR18</f>
        <v>Frais fixes de production</v>
      </c>
      <c r="BE25" s="471"/>
      <c r="BF25" s="213">
        <f>AV18-AD18</f>
        <v>0</v>
      </c>
      <c r="BG25" s="213">
        <f>L18-AV18</f>
        <v>30000</v>
      </c>
      <c r="BH25" s="213">
        <f>IF(BF25+BG25=L18-AD18,BF25+BG25,"Erreur")</f>
        <v>30000</v>
      </c>
      <c r="BI25" s="213">
        <f>AY18-AG18</f>
        <v>0</v>
      </c>
      <c r="BJ25" s="213">
        <f>O18-AY18</f>
        <v>0</v>
      </c>
      <c r="BK25" s="213">
        <f>IF(BI25+BJ25=O18-AG18,BI25+BJ25,"Erreur")</f>
        <v>0</v>
      </c>
      <c r="BL25" s="213">
        <f>BB18-AJ18</f>
        <v>0</v>
      </c>
      <c r="BM25" s="213">
        <f>R18-BB18</f>
        <v>0</v>
      </c>
      <c r="BN25" s="307">
        <f>IF(BL25+BM25=R18-AJ18,BL25+BM25,"Erreur")</f>
        <v>0</v>
      </c>
    </row>
    <row r="26" spans="2:66">
      <c r="B26" s="309"/>
      <c r="C26" s="2" t="str">
        <f>Donnees_de_jeu!$C6</f>
        <v>Scooter G1</v>
      </c>
      <c r="D26" s="334">
        <f>Données_techniques!D15</f>
        <v>2319</v>
      </c>
      <c r="E26" s="334">
        <f>Données_commerciales!J3</f>
        <v>2015</v>
      </c>
      <c r="F26" s="301"/>
      <c r="G26" s="457"/>
      <c r="H26" s="217" t="s">
        <v>342</v>
      </c>
      <c r="I26" s="251">
        <f>Données_techniques!C15</f>
        <v>190</v>
      </c>
      <c r="J26" s="95">
        <f>Données_techniques!G15</f>
        <v>120</v>
      </c>
      <c r="K26" s="337">
        <f>I26*J26</f>
        <v>22800</v>
      </c>
      <c r="L26" s="252"/>
      <c r="M26" s="252"/>
      <c r="N26" s="252"/>
      <c r="O26" s="252"/>
      <c r="P26" s="301"/>
      <c r="Q26" s="301"/>
      <c r="R26" s="302"/>
      <c r="T26" s="322"/>
      <c r="U26" s="2" t="str">
        <f>Donnees_de_jeu!$C6</f>
        <v>Scooter G1</v>
      </c>
      <c r="V26" s="333"/>
      <c r="W26" s="333"/>
      <c r="X26" s="295"/>
      <c r="Y26" s="552"/>
      <c r="Z26" s="255" t="s">
        <v>342</v>
      </c>
      <c r="AA26" s="323">
        <f>Données_techniques!U15</f>
        <v>0</v>
      </c>
      <c r="AB26" s="187">
        <f>Données_techniques!Y15</f>
        <v>0</v>
      </c>
      <c r="AC26" s="340">
        <f>AA26*AB26</f>
        <v>0</v>
      </c>
      <c r="AD26" s="325"/>
      <c r="AE26" s="325"/>
      <c r="AF26" s="325"/>
      <c r="AG26" s="325"/>
      <c r="AH26" s="295"/>
      <c r="AI26" s="295"/>
      <c r="AJ26" s="321"/>
      <c r="AL26" s="322"/>
      <c r="AM26" s="10" t="str">
        <f>Donnees_de_jeu!$C6</f>
        <v>Scooter G1</v>
      </c>
      <c r="AN26" s="343">
        <f>D26</f>
        <v>2319</v>
      </c>
      <c r="AO26" s="343">
        <f>E26</f>
        <v>2015</v>
      </c>
      <c r="AP26" s="295"/>
      <c r="AQ26" s="552"/>
      <c r="AR26" s="255" t="s">
        <v>342</v>
      </c>
      <c r="AS26" s="323">
        <f>Données_techniques!AM15</f>
        <v>0</v>
      </c>
      <c r="AT26" s="187">
        <f>Données_techniques!AQ15</f>
        <v>0</v>
      </c>
      <c r="AU26" s="340">
        <f>AS26*AT26</f>
        <v>0</v>
      </c>
      <c r="AV26" s="325"/>
      <c r="AW26" s="325"/>
      <c r="AX26" s="325"/>
      <c r="AY26" s="325"/>
      <c r="AZ26" s="295"/>
      <c r="BA26" s="295"/>
      <c r="BB26" s="321"/>
      <c r="BD26" s="535" t="str">
        <f>AR19</f>
        <v>Budget qualité</v>
      </c>
      <c r="BE26" s="471"/>
      <c r="BF26" s="213">
        <f>AV19-AD19</f>
        <v>0</v>
      </c>
      <c r="BG26" s="213">
        <f>L19-AV19</f>
        <v>30000</v>
      </c>
      <c r="BH26" s="213">
        <f>IF(BF26+BG26=L19-AD19,BF26+BG26,"Erreur")</f>
        <v>30000</v>
      </c>
      <c r="BI26" s="213">
        <f>AY19-AG19</f>
        <v>0</v>
      </c>
      <c r="BJ26" s="213">
        <f>O19-AY19</f>
        <v>0</v>
      </c>
      <c r="BK26" s="213">
        <f>IF(BI26+BJ26=O19-AG19,BI26+BJ26,"Erreur")</f>
        <v>0</v>
      </c>
      <c r="BL26" s="213">
        <f>BB19-AJ19</f>
        <v>0</v>
      </c>
      <c r="BM26" s="213">
        <f>R19-BB19</f>
        <v>0</v>
      </c>
      <c r="BN26" s="307">
        <f>IF(BL26+BM26=R19-AJ19,BL26+BM26,"Erreur")</f>
        <v>0</v>
      </c>
    </row>
    <row r="27" spans="2:66" ht="25.5">
      <c r="B27" s="309"/>
      <c r="C27" s="2" t="str">
        <f>Donnees_de_jeu!$C7</f>
        <v>Scooter G2</v>
      </c>
      <c r="D27" s="334">
        <f>Données_techniques!D16</f>
        <v>0</v>
      </c>
      <c r="E27" s="334">
        <f>Données_commerciales!J4</f>
        <v>0</v>
      </c>
      <c r="F27" s="301"/>
      <c r="G27" s="457"/>
      <c r="H27" s="217" t="s">
        <v>346</v>
      </c>
      <c r="I27" s="251">
        <f>J22</f>
        <v>2319</v>
      </c>
      <c r="J27" s="95">
        <f t="shared" ref="J27:K27" si="22">K22</f>
        <v>205.85942216472617</v>
      </c>
      <c r="K27" s="95">
        <f t="shared" si="22"/>
        <v>477388</v>
      </c>
      <c r="L27" s="217" t="s">
        <v>345</v>
      </c>
      <c r="M27" s="251">
        <f>E26</f>
        <v>2015</v>
      </c>
      <c r="N27" s="95">
        <f>O27/M27</f>
        <v>218.81290322580645</v>
      </c>
      <c r="O27" s="95">
        <f>K29-O28</f>
        <v>440908</v>
      </c>
      <c r="P27" s="301"/>
      <c r="Q27" s="301"/>
      <c r="R27" s="302"/>
      <c r="T27" s="322"/>
      <c r="U27" s="2" t="str">
        <f>Donnees_de_jeu!$C7</f>
        <v>Scooter G2</v>
      </c>
      <c r="V27" s="333"/>
      <c r="W27" s="333"/>
      <c r="X27" s="295"/>
      <c r="Y27" s="552"/>
      <c r="Z27" s="255" t="s">
        <v>346</v>
      </c>
      <c r="AA27" s="323">
        <f>AB22</f>
        <v>0</v>
      </c>
      <c r="AB27" s="187" t="e">
        <f t="shared" ref="AB27" si="23">AC22</f>
        <v>#DIV/0!</v>
      </c>
      <c r="AC27" s="187">
        <f t="shared" ref="AC27" si="24">AD22</f>
        <v>19</v>
      </c>
      <c r="AD27" s="255" t="s">
        <v>345</v>
      </c>
      <c r="AE27" s="323">
        <f>W26</f>
        <v>0</v>
      </c>
      <c r="AF27" s="187" t="e">
        <f>AG27/AE27</f>
        <v>#DIV/0!</v>
      </c>
      <c r="AG27" s="187">
        <f>AC29-AG28</f>
        <v>19</v>
      </c>
      <c r="AH27" s="295"/>
      <c r="AI27" s="295"/>
      <c r="AJ27" s="321"/>
      <c r="AL27" s="322"/>
      <c r="AM27" s="10" t="str">
        <f>Donnees_de_jeu!$C7</f>
        <v>Scooter G2</v>
      </c>
      <c r="AN27" s="343">
        <f t="shared" ref="AN27:AN28" si="25">D27</f>
        <v>0</v>
      </c>
      <c r="AO27" s="343">
        <f t="shared" ref="AO27:AO28" si="26">E27</f>
        <v>0</v>
      </c>
      <c r="AP27" s="295"/>
      <c r="AQ27" s="552"/>
      <c r="AR27" s="255" t="s">
        <v>346</v>
      </c>
      <c r="AS27" s="323">
        <f>AT22</f>
        <v>2319</v>
      </c>
      <c r="AT27" s="187">
        <f t="shared" ref="AT27" si="27">AU22</f>
        <v>177.43811987925829</v>
      </c>
      <c r="AU27" s="187">
        <f t="shared" ref="AU27" si="28">AV22</f>
        <v>411479</v>
      </c>
      <c r="AV27" s="255" t="s">
        <v>345</v>
      </c>
      <c r="AW27" s="323">
        <f>AO26</f>
        <v>2015</v>
      </c>
      <c r="AX27" s="187">
        <f>AY27/AW27</f>
        <v>186.10372208436723</v>
      </c>
      <c r="AY27" s="187">
        <f>AU29-AY28</f>
        <v>374999</v>
      </c>
      <c r="AZ27" s="295"/>
      <c r="BA27" s="295"/>
      <c r="BB27" s="321"/>
      <c r="BD27" s="522" t="s">
        <v>312</v>
      </c>
      <c r="BE27" s="443"/>
      <c r="BF27" s="248"/>
      <c r="BG27" s="201"/>
      <c r="BH27" s="201"/>
      <c r="BI27" s="248"/>
      <c r="BJ27" s="201"/>
      <c r="BK27" s="201"/>
      <c r="BL27" s="248"/>
      <c r="BM27" s="201"/>
      <c r="BN27" s="298"/>
    </row>
    <row r="28" spans="2:66">
      <c r="B28" s="309"/>
      <c r="C28" s="2" t="str">
        <f>Donnees_de_jeu!$C8</f>
        <v>Scooter G3</v>
      </c>
      <c r="D28" s="334">
        <f>Données_techniques!D17</f>
        <v>0</v>
      </c>
      <c r="E28" s="334">
        <f>Données_commerciales!J5</f>
        <v>0</v>
      </c>
      <c r="F28" s="301"/>
      <c r="G28" s="457"/>
      <c r="H28" s="252"/>
      <c r="I28" s="256"/>
      <c r="J28" s="338"/>
      <c r="K28" s="338"/>
      <c r="L28" s="217" t="s">
        <v>343</v>
      </c>
      <c r="M28" s="251">
        <f>Données_techniques!F15</f>
        <v>494</v>
      </c>
      <c r="N28" s="95">
        <f>O28/M28</f>
        <v>120</v>
      </c>
      <c r="O28" s="95">
        <f>Données_comptables!C11</f>
        <v>59280</v>
      </c>
      <c r="P28" s="301"/>
      <c r="Q28" s="301"/>
      <c r="R28" s="302"/>
      <c r="T28" s="322"/>
      <c r="U28" s="2" t="str">
        <f>Donnees_de_jeu!$C8</f>
        <v>Scooter G3</v>
      </c>
      <c r="V28" s="333"/>
      <c r="W28" s="333"/>
      <c r="X28" s="295"/>
      <c r="Y28" s="552"/>
      <c r="Z28" s="325"/>
      <c r="AA28" s="326"/>
      <c r="AB28" s="341"/>
      <c r="AC28" s="341"/>
      <c r="AD28" s="255" t="s">
        <v>343</v>
      </c>
      <c r="AE28" s="323">
        <f>AA29-AE27</f>
        <v>0</v>
      </c>
      <c r="AF28" s="187">
        <f>Données_techniques!G15</f>
        <v>120</v>
      </c>
      <c r="AG28" s="187">
        <f>AE28*AF28</f>
        <v>0</v>
      </c>
      <c r="AH28" s="295"/>
      <c r="AI28" s="295"/>
      <c r="AJ28" s="321"/>
      <c r="AL28" s="322"/>
      <c r="AM28" s="10" t="str">
        <f>Donnees_de_jeu!$C8</f>
        <v>Scooter G3</v>
      </c>
      <c r="AN28" s="343">
        <f t="shared" si="25"/>
        <v>0</v>
      </c>
      <c r="AO28" s="343">
        <f t="shared" si="26"/>
        <v>0</v>
      </c>
      <c r="AP28" s="295"/>
      <c r="AQ28" s="552"/>
      <c r="AR28" s="325"/>
      <c r="AS28" s="326"/>
      <c r="AT28" s="341"/>
      <c r="AU28" s="341"/>
      <c r="AV28" s="255" t="s">
        <v>343</v>
      </c>
      <c r="AW28" s="323">
        <f>AS29-AW27</f>
        <v>304</v>
      </c>
      <c r="AX28" s="187">
        <f>Données_techniques!G15</f>
        <v>120</v>
      </c>
      <c r="AY28" s="187">
        <f>AW28*AX28</f>
        <v>36480</v>
      </c>
      <c r="AZ28" s="295"/>
      <c r="BA28" s="295"/>
      <c r="BB28" s="321"/>
      <c r="BD28" s="535" t="s">
        <v>325</v>
      </c>
      <c r="BE28" s="471"/>
      <c r="BF28" s="213">
        <f>AV21-AD21</f>
        <v>318700</v>
      </c>
      <c r="BG28" s="213">
        <f>L21-AV21</f>
        <v>0</v>
      </c>
      <c r="BH28" s="213">
        <f>IF(BF28+BG28=L21-AD21,BF28+BG28,"Erreur")</f>
        <v>318700</v>
      </c>
      <c r="BI28" s="213">
        <f>AY21-AG21</f>
        <v>0</v>
      </c>
      <c r="BJ28" s="213">
        <f>O21-AY21</f>
        <v>0</v>
      </c>
      <c r="BK28" s="213">
        <f>IF(BI28+BJ28=O21-AG21,BI28+BJ28,"Erreur")</f>
        <v>0</v>
      </c>
      <c r="BL28" s="213">
        <f>BB21-AJ21</f>
        <v>0</v>
      </c>
      <c r="BM28" s="213">
        <f>R21-BB21</f>
        <v>0</v>
      </c>
      <c r="BN28" s="307">
        <f>IF(BL28+BM28=R21-AJ21,BL28+BM28,"Erreur")</f>
        <v>0</v>
      </c>
    </row>
    <row r="29" spans="2:66">
      <c r="B29" s="309"/>
      <c r="C29" s="28" t="s">
        <v>31</v>
      </c>
      <c r="D29" s="334">
        <f>SUM(D26:D28)</f>
        <v>2319</v>
      </c>
      <c r="E29" s="334">
        <f>SUM(E26:E28)</f>
        <v>2015</v>
      </c>
      <c r="F29" s="301"/>
      <c r="G29" s="457"/>
      <c r="H29" s="217" t="s">
        <v>344</v>
      </c>
      <c r="I29" s="251">
        <f>I26+I27</f>
        <v>2509</v>
      </c>
      <c r="J29" s="95">
        <f>K29/I29</f>
        <v>199.35751295336789</v>
      </c>
      <c r="K29" s="95">
        <f>K26+K27</f>
        <v>500188</v>
      </c>
      <c r="L29" s="217" t="s">
        <v>344</v>
      </c>
      <c r="M29" s="251">
        <f>M27+M28</f>
        <v>2509</v>
      </c>
      <c r="N29" s="95">
        <f>O29/M29</f>
        <v>199.35751295336789</v>
      </c>
      <c r="O29" s="95">
        <f>O27+O28</f>
        <v>500188</v>
      </c>
      <c r="P29" s="301"/>
      <c r="Q29" s="301"/>
      <c r="R29" s="302"/>
      <c r="T29" s="322"/>
      <c r="U29" s="28" t="s">
        <v>31</v>
      </c>
      <c r="V29" s="335">
        <f>SUM(V26:V28)</f>
        <v>0</v>
      </c>
      <c r="W29" s="335">
        <f>SUM(W26:W28)</f>
        <v>0</v>
      </c>
      <c r="X29" s="295"/>
      <c r="Y29" s="552"/>
      <c r="Z29" s="255" t="s">
        <v>344</v>
      </c>
      <c r="AA29" s="323">
        <f>AA26+AA27</f>
        <v>0</v>
      </c>
      <c r="AB29" s="187" t="e">
        <f>AC29/AA29</f>
        <v>#DIV/0!</v>
      </c>
      <c r="AC29" s="187">
        <f>AC26+AC27</f>
        <v>19</v>
      </c>
      <c r="AD29" s="255" t="s">
        <v>344</v>
      </c>
      <c r="AE29" s="323">
        <f>AE27+AE28</f>
        <v>0</v>
      </c>
      <c r="AF29" s="187" t="e">
        <f>AG29/AE29</f>
        <v>#DIV/0!</v>
      </c>
      <c r="AG29" s="187">
        <f>AG27+AG28</f>
        <v>19</v>
      </c>
      <c r="AH29" s="295"/>
      <c r="AI29" s="295"/>
      <c r="AJ29" s="321"/>
      <c r="AL29" s="322"/>
      <c r="AM29" s="28" t="s">
        <v>31</v>
      </c>
      <c r="AN29" s="335">
        <f>SUM(AN26:AN28)</f>
        <v>2319</v>
      </c>
      <c r="AO29" s="335">
        <f>SUM(AO26:AO28)</f>
        <v>2015</v>
      </c>
      <c r="AP29" s="295"/>
      <c r="AQ29" s="552"/>
      <c r="AR29" s="255" t="s">
        <v>344</v>
      </c>
      <c r="AS29" s="323">
        <f>AS26+AS27</f>
        <v>2319</v>
      </c>
      <c r="AT29" s="187">
        <f>AU29/AS29</f>
        <v>177.43811987925829</v>
      </c>
      <c r="AU29" s="187">
        <f>AU26+AU27</f>
        <v>411479</v>
      </c>
      <c r="AV29" s="255" t="s">
        <v>344</v>
      </c>
      <c r="AW29" s="323">
        <f>AW27+AW28</f>
        <v>2319</v>
      </c>
      <c r="AX29" s="187">
        <f>AY29/AW29</f>
        <v>177.43811987925829</v>
      </c>
      <c r="AY29" s="187">
        <f>AY27+AY28</f>
        <v>411479</v>
      </c>
      <c r="AZ29" s="295"/>
      <c r="BA29" s="295"/>
      <c r="BB29" s="321"/>
      <c r="BD29" s="536" t="s">
        <v>31</v>
      </c>
      <c r="BE29" s="465"/>
      <c r="BF29" s="213">
        <f>AV22-AD22</f>
        <v>411460</v>
      </c>
      <c r="BG29" s="213">
        <f>L22-AV22</f>
        <v>65909</v>
      </c>
      <c r="BH29" s="213">
        <f>IF(BF29+BG29=L22-AD22,BF29+BG29,"Erreur")</f>
        <v>477369</v>
      </c>
      <c r="BI29" s="213">
        <f>AY22-AG22</f>
        <v>0</v>
      </c>
      <c r="BJ29" s="213">
        <f>O22-AY22</f>
        <v>0</v>
      </c>
      <c r="BK29" s="213">
        <f>IF(BI29+BJ29=O22-AG22,BI29+BJ29,"Erreur")</f>
        <v>0</v>
      </c>
      <c r="BL29" s="213">
        <f>BB22-AJ22</f>
        <v>0</v>
      </c>
      <c r="BM29" s="213">
        <f>R22-BB22</f>
        <v>0</v>
      </c>
      <c r="BN29" s="307">
        <f>IF(BL29+BM29=R22-AJ22,BL29+BM29,"Erreur")</f>
        <v>0</v>
      </c>
    </row>
    <row r="30" spans="2:66">
      <c r="B30" s="309"/>
      <c r="C30" s="301"/>
      <c r="D30" s="301"/>
      <c r="E30" s="301"/>
      <c r="F30" s="301"/>
      <c r="G30" s="457"/>
      <c r="H30" s="311"/>
      <c r="I30" s="311"/>
      <c r="J30" s="311"/>
      <c r="K30" s="311"/>
      <c r="L30" s="311"/>
      <c r="M30" s="311"/>
      <c r="N30" s="311"/>
      <c r="O30" s="311"/>
      <c r="P30" s="301"/>
      <c r="Q30" s="301"/>
      <c r="R30" s="302"/>
      <c r="T30" s="322"/>
      <c r="U30" s="295"/>
      <c r="V30" s="295"/>
      <c r="W30" s="295"/>
      <c r="X30" s="295"/>
      <c r="Y30" s="552"/>
      <c r="Z30" s="327"/>
      <c r="AA30" s="327"/>
      <c r="AB30" s="327"/>
      <c r="AC30" s="327"/>
      <c r="AD30" s="327"/>
      <c r="AE30" s="327"/>
      <c r="AF30" s="327"/>
      <c r="AG30" s="327"/>
      <c r="AH30" s="295"/>
      <c r="AI30" s="295"/>
      <c r="AJ30" s="321"/>
      <c r="AL30" s="322"/>
      <c r="AM30" s="295"/>
      <c r="AN30" s="295"/>
      <c r="AO30" s="295"/>
      <c r="AP30" s="295"/>
      <c r="AQ30" s="552"/>
      <c r="AR30" s="327"/>
      <c r="AS30" s="327"/>
      <c r="AT30" s="327"/>
      <c r="AU30" s="327"/>
      <c r="AV30" s="327"/>
      <c r="AW30" s="327"/>
      <c r="AX30" s="327"/>
      <c r="AY30" s="327"/>
      <c r="AZ30" s="295"/>
      <c r="BA30" s="295"/>
      <c r="BB30" s="321"/>
      <c r="BD30" s="309"/>
      <c r="BE30" s="301"/>
      <c r="BF30" s="301"/>
      <c r="BG30" s="301"/>
      <c r="BH30" s="301"/>
      <c r="BI30" s="301"/>
      <c r="BJ30" s="301"/>
      <c r="BK30" s="301"/>
      <c r="BL30" s="301"/>
      <c r="BM30" s="301"/>
      <c r="BN30" s="302"/>
    </row>
    <row r="31" spans="2:66" ht="12.75" customHeight="1">
      <c r="B31" s="309"/>
      <c r="C31" s="301"/>
      <c r="D31" s="301"/>
      <c r="E31" s="301"/>
      <c r="F31" s="301"/>
      <c r="G31" s="457"/>
      <c r="H31" s="460" t="str">
        <f>CONCATENATE("Stock de ",Donnees_de_jeu!C7)</f>
        <v>Stock de Scooter G2</v>
      </c>
      <c r="I31" s="460"/>
      <c r="J31" s="460"/>
      <c r="K31" s="460"/>
      <c r="L31" s="460"/>
      <c r="M31" s="460"/>
      <c r="N31" s="460"/>
      <c r="O31" s="460"/>
      <c r="P31" s="301"/>
      <c r="Q31" s="301"/>
      <c r="R31" s="302"/>
      <c r="T31" s="322"/>
      <c r="U31" s="474" t="s">
        <v>400</v>
      </c>
      <c r="V31" s="475"/>
      <c r="W31" s="476"/>
      <c r="X31" s="295"/>
      <c r="Y31" s="552"/>
      <c r="Z31" s="553" t="str">
        <f>H31</f>
        <v>Stock de Scooter G2</v>
      </c>
      <c r="AA31" s="553"/>
      <c r="AB31" s="553"/>
      <c r="AC31" s="553"/>
      <c r="AD31" s="553"/>
      <c r="AE31" s="553"/>
      <c r="AF31" s="553"/>
      <c r="AG31" s="553"/>
      <c r="AH31" s="295"/>
      <c r="AI31" s="295"/>
      <c r="AJ31" s="321"/>
      <c r="AL31" s="322"/>
      <c r="AM31" s="295"/>
      <c r="AN31" s="295"/>
      <c r="AO31" s="295"/>
      <c r="AP31" s="295"/>
      <c r="AQ31" s="552"/>
      <c r="AR31" s="553" t="str">
        <f>Z31</f>
        <v>Stock de Scooter G2</v>
      </c>
      <c r="AS31" s="553"/>
      <c r="AT31" s="553"/>
      <c r="AU31" s="553"/>
      <c r="AV31" s="553"/>
      <c r="AW31" s="553"/>
      <c r="AX31" s="553"/>
      <c r="AY31" s="553"/>
      <c r="AZ31" s="295"/>
      <c r="BA31" s="295"/>
      <c r="BB31" s="321"/>
      <c r="BD31" s="531" t="s">
        <v>405</v>
      </c>
      <c r="BE31" s="447"/>
      <c r="BF31" s="447"/>
      <c r="BG31" s="447"/>
      <c r="BH31" s="447"/>
      <c r="BI31" s="447"/>
      <c r="BJ31" s="447"/>
      <c r="BK31" s="447"/>
      <c r="BL31" s="447"/>
      <c r="BM31" s="447"/>
      <c r="BN31" s="532"/>
    </row>
    <row r="32" spans="2:66" ht="25.5">
      <c r="B32" s="309"/>
      <c r="C32" s="301"/>
      <c r="D32" s="301"/>
      <c r="E32" s="301"/>
      <c r="F32" s="301"/>
      <c r="G32" s="457"/>
      <c r="H32" s="217" t="s">
        <v>340</v>
      </c>
      <c r="I32" s="217" t="s">
        <v>341</v>
      </c>
      <c r="J32" s="217" t="s">
        <v>347</v>
      </c>
      <c r="K32" s="217" t="s">
        <v>338</v>
      </c>
      <c r="L32" s="217" t="s">
        <v>340</v>
      </c>
      <c r="M32" s="217" t="s">
        <v>341</v>
      </c>
      <c r="N32" s="217" t="s">
        <v>347</v>
      </c>
      <c r="O32" s="217" t="s">
        <v>338</v>
      </c>
      <c r="P32" s="301"/>
      <c r="Q32" s="301"/>
      <c r="R32" s="302"/>
      <c r="T32" s="322"/>
      <c r="U32" s="28" t="s">
        <v>429</v>
      </c>
      <c r="V32" s="28" t="s">
        <v>342</v>
      </c>
      <c r="W32" s="28" t="s">
        <v>343</v>
      </c>
      <c r="X32" s="295"/>
      <c r="Y32" s="552"/>
      <c r="Z32" s="255" t="s">
        <v>340</v>
      </c>
      <c r="AA32" s="255" t="s">
        <v>341</v>
      </c>
      <c r="AB32" s="255" t="s">
        <v>347</v>
      </c>
      <c r="AC32" s="255" t="s">
        <v>338</v>
      </c>
      <c r="AD32" s="255" t="s">
        <v>340</v>
      </c>
      <c r="AE32" s="255" t="s">
        <v>341</v>
      </c>
      <c r="AF32" s="255" t="s">
        <v>347</v>
      </c>
      <c r="AG32" s="255" t="s">
        <v>338</v>
      </c>
      <c r="AH32" s="295"/>
      <c r="AI32" s="295"/>
      <c r="AJ32" s="321"/>
      <c r="AL32" s="322"/>
      <c r="AM32" s="295"/>
      <c r="AN32" s="295"/>
      <c r="AO32" s="295"/>
      <c r="AP32" s="295"/>
      <c r="AQ32" s="552"/>
      <c r="AR32" s="255" t="s">
        <v>340</v>
      </c>
      <c r="AS32" s="255" t="s">
        <v>341</v>
      </c>
      <c r="AT32" s="255" t="s">
        <v>347</v>
      </c>
      <c r="AU32" s="255" t="s">
        <v>338</v>
      </c>
      <c r="AV32" s="255" t="s">
        <v>340</v>
      </c>
      <c r="AW32" s="255" t="s">
        <v>341</v>
      </c>
      <c r="AX32" s="255" t="s">
        <v>347</v>
      </c>
      <c r="AY32" s="255" t="s">
        <v>338</v>
      </c>
      <c r="AZ32" s="295"/>
      <c r="BA32" s="295"/>
      <c r="BB32" s="321"/>
      <c r="BD32" s="537"/>
      <c r="BE32" s="462"/>
      <c r="BF32" s="518" t="str">
        <f>BF21</f>
        <v>Scooter G1</v>
      </c>
      <c r="BG32" s="519"/>
      <c r="BH32" s="529"/>
      <c r="BI32" s="518" t="str">
        <f t="shared" ref="BI32" si="29">BI21</f>
        <v>Scooter G2</v>
      </c>
      <c r="BJ32" s="519"/>
      <c r="BK32" s="529"/>
      <c r="BL32" s="518" t="str">
        <f t="shared" ref="BL32" si="30">BL21</f>
        <v>Scooter G3</v>
      </c>
      <c r="BM32" s="519"/>
      <c r="BN32" s="520"/>
    </row>
    <row r="33" spans="2:66" ht="38.25">
      <c r="B33" s="309"/>
      <c r="C33" s="301"/>
      <c r="D33" s="301"/>
      <c r="E33" s="301"/>
      <c r="F33" s="301"/>
      <c r="G33" s="457"/>
      <c r="H33" s="217" t="s">
        <v>342</v>
      </c>
      <c r="I33" s="251">
        <f>Données_techniques!C16</f>
        <v>0</v>
      </c>
      <c r="J33" s="95">
        <f>Données_techniques!G16</f>
        <v>140</v>
      </c>
      <c r="K33" s="337">
        <f>I33*J33</f>
        <v>0</v>
      </c>
      <c r="L33" s="252"/>
      <c r="M33" s="252"/>
      <c r="N33" s="252"/>
      <c r="O33" s="252"/>
      <c r="P33" s="301"/>
      <c r="Q33" s="301"/>
      <c r="R33" s="302"/>
      <c r="T33" s="322"/>
      <c r="U33" s="2" t="str">
        <f>Donnees_de_jeu!$C6</f>
        <v>Scooter G1</v>
      </c>
      <c r="V33" s="334">
        <f>Données_techniques!C15</f>
        <v>190</v>
      </c>
      <c r="W33" s="334">
        <f>V33+V26-W26</f>
        <v>190</v>
      </c>
      <c r="X33" s="295"/>
      <c r="Y33" s="552"/>
      <c r="Z33" s="255" t="s">
        <v>342</v>
      </c>
      <c r="AA33" s="323">
        <f>Données_techniques!U16</f>
        <v>0</v>
      </c>
      <c r="AB33" s="187">
        <f>Données_techniques!Y16</f>
        <v>0</v>
      </c>
      <c r="AC33" s="340">
        <f>AA33*AB33</f>
        <v>0</v>
      </c>
      <c r="AD33" s="325"/>
      <c r="AE33" s="325"/>
      <c r="AF33" s="325"/>
      <c r="AG33" s="325"/>
      <c r="AH33" s="295"/>
      <c r="AI33" s="295"/>
      <c r="AJ33" s="321"/>
      <c r="AL33" s="322"/>
      <c r="AM33" s="295"/>
      <c r="AN33" s="295"/>
      <c r="AO33" s="295"/>
      <c r="AP33" s="295"/>
      <c r="AQ33" s="552"/>
      <c r="AR33" s="255" t="s">
        <v>342</v>
      </c>
      <c r="AS33" s="323">
        <f>Données_techniques!AM16</f>
        <v>0</v>
      </c>
      <c r="AT33" s="187">
        <f>Données_techniques!AQ16</f>
        <v>0</v>
      </c>
      <c r="AU33" s="340">
        <f>AS33*AT33</f>
        <v>0</v>
      </c>
      <c r="AV33" s="325"/>
      <c r="AW33" s="325"/>
      <c r="AX33" s="325"/>
      <c r="AY33" s="325"/>
      <c r="AZ33" s="295"/>
      <c r="BA33" s="295"/>
      <c r="BB33" s="321"/>
      <c r="BD33" s="538"/>
      <c r="BE33" s="464"/>
      <c r="BF33" s="28" t="s">
        <v>411</v>
      </c>
      <c r="BG33" s="28" t="s">
        <v>412</v>
      </c>
      <c r="BH33" s="28" t="s">
        <v>413</v>
      </c>
      <c r="BI33" s="28" t="s">
        <v>411</v>
      </c>
      <c r="BJ33" s="28" t="s">
        <v>412</v>
      </c>
      <c r="BK33" s="28" t="s">
        <v>413</v>
      </c>
      <c r="BL33" s="28" t="s">
        <v>411</v>
      </c>
      <c r="BM33" s="28" t="s">
        <v>412</v>
      </c>
      <c r="BN33" s="297" t="s">
        <v>413</v>
      </c>
    </row>
    <row r="34" spans="2:66" ht="25.5">
      <c r="B34" s="309"/>
      <c r="C34" s="301"/>
      <c r="D34" s="301"/>
      <c r="E34" s="301"/>
      <c r="F34" s="301"/>
      <c r="G34" s="457"/>
      <c r="H34" s="217" t="s">
        <v>346</v>
      </c>
      <c r="I34" s="251">
        <f>M22</f>
        <v>0</v>
      </c>
      <c r="J34" s="95" t="e">
        <f t="shared" ref="J34:K34" si="31">N22</f>
        <v>#DIV/0!</v>
      </c>
      <c r="K34" s="95">
        <f t="shared" si="31"/>
        <v>0</v>
      </c>
      <c r="L34" s="217" t="s">
        <v>345</v>
      </c>
      <c r="M34" s="251">
        <f>E27</f>
        <v>0</v>
      </c>
      <c r="N34" s="95" t="e">
        <f>O34/M34</f>
        <v>#DIV/0!</v>
      </c>
      <c r="O34" s="95">
        <f>K36-O35</f>
        <v>0</v>
      </c>
      <c r="P34" s="301"/>
      <c r="Q34" s="301"/>
      <c r="R34" s="302"/>
      <c r="T34" s="322"/>
      <c r="U34" s="2" t="str">
        <f>Donnees_de_jeu!$C7</f>
        <v>Scooter G2</v>
      </c>
      <c r="V34" s="334">
        <f>Données_techniques!C16</f>
        <v>0</v>
      </c>
      <c r="W34" s="334">
        <f t="shared" ref="W34:W35" si="32">V34+V27-W27</f>
        <v>0</v>
      </c>
      <c r="X34" s="295"/>
      <c r="Y34" s="552"/>
      <c r="Z34" s="255" t="s">
        <v>346</v>
      </c>
      <c r="AA34" s="323">
        <f>AE22</f>
        <v>0</v>
      </c>
      <c r="AB34" s="187" t="e">
        <f t="shared" ref="AB34" si="33">AF22</f>
        <v>#DIV/0!</v>
      </c>
      <c r="AC34" s="187">
        <f t="shared" ref="AC34" si="34">AG22</f>
        <v>0</v>
      </c>
      <c r="AD34" s="255" t="s">
        <v>345</v>
      </c>
      <c r="AE34" s="323">
        <f>W27</f>
        <v>0</v>
      </c>
      <c r="AF34" s="187" t="e">
        <f>AG34/AE34</f>
        <v>#DIV/0!</v>
      </c>
      <c r="AG34" s="187">
        <f>AC36-AG35</f>
        <v>0</v>
      </c>
      <c r="AH34" s="295"/>
      <c r="AI34" s="295"/>
      <c r="AJ34" s="321"/>
      <c r="AL34" s="322"/>
      <c r="AM34" s="295"/>
      <c r="AN34" s="295"/>
      <c r="AO34" s="295"/>
      <c r="AP34" s="295"/>
      <c r="AQ34" s="552"/>
      <c r="AR34" s="255" t="s">
        <v>346</v>
      </c>
      <c r="AS34" s="323">
        <f>AW22</f>
        <v>0</v>
      </c>
      <c r="AT34" s="187" t="e">
        <f t="shared" ref="AT34" si="35">AX22</f>
        <v>#DIV/0!</v>
      </c>
      <c r="AU34" s="187">
        <f t="shared" ref="AU34" si="36">AY22</f>
        <v>0</v>
      </c>
      <c r="AV34" s="255" t="s">
        <v>345</v>
      </c>
      <c r="AW34" s="323">
        <f>AO27</f>
        <v>0</v>
      </c>
      <c r="AX34" s="187" t="e">
        <f>AY34/AW34</f>
        <v>#DIV/0!</v>
      </c>
      <c r="AY34" s="187">
        <f>AU36-AY35</f>
        <v>0</v>
      </c>
      <c r="AZ34" s="295"/>
      <c r="BA34" s="295"/>
      <c r="BB34" s="321"/>
      <c r="BD34" s="521" t="s">
        <v>350</v>
      </c>
      <c r="BE34" s="456"/>
      <c r="BF34" s="213">
        <f>AV48-AD48</f>
        <v>374980</v>
      </c>
      <c r="BG34" s="213">
        <f>L48-AV48</f>
        <v>65909</v>
      </c>
      <c r="BH34" s="213">
        <f>IF(BF34+BG34=L48-AD48,BF34+BG34,"Erreur")</f>
        <v>440889</v>
      </c>
      <c r="BI34" s="213">
        <f t="shared" ref="BI34" si="37">AY48-AG48</f>
        <v>0</v>
      </c>
      <c r="BJ34" s="213">
        <f t="shared" ref="BJ34" si="38">O48-AY48</f>
        <v>0</v>
      </c>
      <c r="BK34" s="213">
        <f t="shared" ref="BK34" si="39">IF(BI34+BJ34=O48-AG48,BI34+BJ34,"Erreur")</f>
        <v>0</v>
      </c>
      <c r="BL34" s="213">
        <f t="shared" ref="BL34" si="40">BB48-AJ48</f>
        <v>0</v>
      </c>
      <c r="BM34" s="213">
        <f t="shared" ref="BM34" si="41">R48-BB48</f>
        <v>0</v>
      </c>
      <c r="BN34" s="307">
        <f t="shared" ref="BN34" si="42">IF(BL34+BM34=R48-AJ48,BL34+BM34,"Erreur")</f>
        <v>0</v>
      </c>
    </row>
    <row r="35" spans="2:66">
      <c r="B35" s="309"/>
      <c r="C35" s="301"/>
      <c r="D35" s="301"/>
      <c r="E35" s="301"/>
      <c r="F35" s="301"/>
      <c r="G35" s="457"/>
      <c r="H35" s="252"/>
      <c r="I35" s="256"/>
      <c r="J35" s="338"/>
      <c r="K35" s="338"/>
      <c r="L35" s="217" t="s">
        <v>343</v>
      </c>
      <c r="M35" s="251">
        <f>Données_techniques!F16</f>
        <v>0</v>
      </c>
      <c r="N35" s="95" t="e">
        <f>O35/M35</f>
        <v>#DIV/0!</v>
      </c>
      <c r="O35" s="95">
        <f>Données_comptables!C12</f>
        <v>0</v>
      </c>
      <c r="P35" s="301"/>
      <c r="Q35" s="301"/>
      <c r="R35" s="302"/>
      <c r="T35" s="322"/>
      <c r="U35" s="2" t="str">
        <f>Donnees_de_jeu!$C8</f>
        <v>Scooter G3</v>
      </c>
      <c r="V35" s="334"/>
      <c r="W35" s="334">
        <f t="shared" si="32"/>
        <v>0</v>
      </c>
      <c r="X35" s="295"/>
      <c r="Y35" s="552"/>
      <c r="Z35" s="325"/>
      <c r="AA35" s="326"/>
      <c r="AB35" s="341"/>
      <c r="AC35" s="341"/>
      <c r="AD35" s="255" t="s">
        <v>343</v>
      </c>
      <c r="AE35" s="323">
        <f>AA36-AE34</f>
        <v>0</v>
      </c>
      <c r="AF35" s="187">
        <f>Données_techniques!G16</f>
        <v>140</v>
      </c>
      <c r="AG35" s="187">
        <f>AE35*AF35</f>
        <v>0</v>
      </c>
      <c r="AH35" s="295"/>
      <c r="AI35" s="295"/>
      <c r="AJ35" s="321"/>
      <c r="AL35" s="322"/>
      <c r="AM35" s="295"/>
      <c r="AN35" s="295"/>
      <c r="AO35" s="295"/>
      <c r="AP35" s="295"/>
      <c r="AQ35" s="552"/>
      <c r="AR35" s="325"/>
      <c r="AS35" s="326"/>
      <c r="AT35" s="341"/>
      <c r="AU35" s="341"/>
      <c r="AV35" s="255" t="s">
        <v>343</v>
      </c>
      <c r="AW35" s="323">
        <f>AS36-AW34</f>
        <v>0</v>
      </c>
      <c r="AX35" s="187">
        <f>Données_techniques!G16</f>
        <v>140</v>
      </c>
      <c r="AY35" s="187">
        <f>AW35*AX35</f>
        <v>0</v>
      </c>
      <c r="AZ35" s="295"/>
      <c r="BA35" s="295"/>
      <c r="BB35" s="321"/>
      <c r="BD35" s="522" t="s">
        <v>311</v>
      </c>
      <c r="BE35" s="443"/>
      <c r="BF35" s="201"/>
      <c r="BG35" s="201"/>
      <c r="BH35" s="201"/>
      <c r="BI35" s="201"/>
      <c r="BJ35" s="201"/>
      <c r="BK35" s="201"/>
      <c r="BL35" s="201"/>
      <c r="BM35" s="201"/>
      <c r="BN35" s="298"/>
    </row>
    <row r="36" spans="2:66">
      <c r="B36" s="309"/>
      <c r="C36" s="301"/>
      <c r="D36" s="301"/>
      <c r="E36" s="301"/>
      <c r="F36" s="301"/>
      <c r="G36" s="457"/>
      <c r="H36" s="217" t="s">
        <v>344</v>
      </c>
      <c r="I36" s="251">
        <f>I33+I34</f>
        <v>0</v>
      </c>
      <c r="J36" s="95" t="e">
        <f>K36/I36</f>
        <v>#DIV/0!</v>
      </c>
      <c r="K36" s="95">
        <f>K33+K34</f>
        <v>0</v>
      </c>
      <c r="L36" s="217" t="s">
        <v>344</v>
      </c>
      <c r="M36" s="251">
        <f>M34+M35</f>
        <v>0</v>
      </c>
      <c r="N36" s="95" t="e">
        <f>O36/M36</f>
        <v>#DIV/0!</v>
      </c>
      <c r="O36" s="95">
        <f>O34+O35</f>
        <v>0</v>
      </c>
      <c r="P36" s="301"/>
      <c r="Q36" s="301"/>
      <c r="R36" s="302"/>
      <c r="T36" s="322"/>
      <c r="U36" s="28" t="s">
        <v>31</v>
      </c>
      <c r="V36" s="335">
        <f>SUM(V33:V35)</f>
        <v>190</v>
      </c>
      <c r="W36" s="335">
        <f>SUM(W33:W35)</f>
        <v>190</v>
      </c>
      <c r="X36" s="295"/>
      <c r="Y36" s="552"/>
      <c r="Z36" s="255" t="s">
        <v>344</v>
      </c>
      <c r="AA36" s="323">
        <f>AA33+AA34</f>
        <v>0</v>
      </c>
      <c r="AB36" s="187" t="e">
        <f>AC36/AA36</f>
        <v>#DIV/0!</v>
      </c>
      <c r="AC36" s="187">
        <f>AC33+AC34</f>
        <v>0</v>
      </c>
      <c r="AD36" s="255" t="s">
        <v>344</v>
      </c>
      <c r="AE36" s="323">
        <f>AE34+AE35</f>
        <v>0</v>
      </c>
      <c r="AF36" s="187" t="e">
        <f>AG36/AE36</f>
        <v>#DIV/0!</v>
      </c>
      <c r="AG36" s="187">
        <f>AG34+AG35</f>
        <v>0</v>
      </c>
      <c r="AH36" s="295"/>
      <c r="AI36" s="295"/>
      <c r="AJ36" s="321"/>
      <c r="AL36" s="322"/>
      <c r="AM36" s="295"/>
      <c r="AN36" s="295"/>
      <c r="AO36" s="295"/>
      <c r="AP36" s="295"/>
      <c r="AQ36" s="552"/>
      <c r="AR36" s="255" t="s">
        <v>344</v>
      </c>
      <c r="AS36" s="323">
        <f>AS33+AS34</f>
        <v>0</v>
      </c>
      <c r="AT36" s="187" t="e">
        <f>AU36/AS36</f>
        <v>#DIV/0!</v>
      </c>
      <c r="AU36" s="187">
        <f>AU33+AU34</f>
        <v>0</v>
      </c>
      <c r="AV36" s="255" t="s">
        <v>344</v>
      </c>
      <c r="AW36" s="323">
        <f>AW34+AW35</f>
        <v>0</v>
      </c>
      <c r="AX36" s="187" t="e">
        <f>AY36/AW36</f>
        <v>#DIV/0!</v>
      </c>
      <c r="AY36" s="187">
        <f>AY34+AY35</f>
        <v>0</v>
      </c>
      <c r="AZ36" s="295"/>
      <c r="BA36" s="295"/>
      <c r="BB36" s="321"/>
      <c r="BD36" s="523" t="str">
        <f>AR50</f>
        <v>Frais fixes d’administration et distribution</v>
      </c>
      <c r="BE36" s="445"/>
      <c r="BF36" s="213">
        <f>AV50-AD50</f>
        <v>0</v>
      </c>
      <c r="BG36" s="213">
        <f>L50-AV50</f>
        <v>60000</v>
      </c>
      <c r="BH36" s="213">
        <f>IF(BF36+BG36=L50-AD50,BF36+BG36,"Erreur")</f>
        <v>60000</v>
      </c>
      <c r="BI36" s="213">
        <f t="shared" ref="BI36:BI37" si="43">AY50-AG50</f>
        <v>0</v>
      </c>
      <c r="BJ36" s="213">
        <f t="shared" ref="BJ36:BJ37" si="44">O50-AY50</f>
        <v>0</v>
      </c>
      <c r="BK36" s="213">
        <f t="shared" ref="BK36:BK37" si="45">IF(BI36+BJ36=O50-AG50,BI36+BJ36,"Erreur")</f>
        <v>0</v>
      </c>
      <c r="BL36" s="213">
        <f t="shared" ref="BL36:BL37" si="46">BB50-AJ50</f>
        <v>0</v>
      </c>
      <c r="BM36" s="213">
        <f t="shared" ref="BM36:BM37" si="47">R50-BB50</f>
        <v>0</v>
      </c>
      <c r="BN36" s="307">
        <f t="shared" ref="BN36:BN37" si="48">IF(BL36+BM36=R50-AJ50,BL36+BM36,"Erreur")</f>
        <v>0</v>
      </c>
    </row>
    <row r="37" spans="2:66">
      <c r="B37" s="309"/>
      <c r="C37" s="301"/>
      <c r="D37" s="301"/>
      <c r="E37" s="301"/>
      <c r="F37" s="301"/>
      <c r="G37" s="457"/>
      <c r="H37" s="311"/>
      <c r="I37" s="311"/>
      <c r="J37" s="311"/>
      <c r="K37" s="311"/>
      <c r="L37" s="311"/>
      <c r="M37" s="311"/>
      <c r="N37" s="311"/>
      <c r="O37" s="311"/>
      <c r="P37" s="301"/>
      <c r="Q37" s="301"/>
      <c r="R37" s="302"/>
      <c r="T37" s="322"/>
      <c r="U37" s="295"/>
      <c r="V37" s="295"/>
      <c r="W37" s="295"/>
      <c r="X37" s="295"/>
      <c r="Y37" s="552"/>
      <c r="Z37" s="327"/>
      <c r="AA37" s="327"/>
      <c r="AB37" s="327"/>
      <c r="AC37" s="327"/>
      <c r="AD37" s="327"/>
      <c r="AE37" s="327"/>
      <c r="AF37" s="327"/>
      <c r="AG37" s="327"/>
      <c r="AH37" s="295"/>
      <c r="AI37" s="295"/>
      <c r="AJ37" s="321"/>
      <c r="AL37" s="322"/>
      <c r="AM37" s="295"/>
      <c r="AN37" s="295"/>
      <c r="AO37" s="295"/>
      <c r="AP37" s="295"/>
      <c r="AQ37" s="552"/>
      <c r="AR37" s="327"/>
      <c r="AS37" s="327"/>
      <c r="AT37" s="327"/>
      <c r="AU37" s="327"/>
      <c r="AV37" s="327"/>
      <c r="AW37" s="327"/>
      <c r="AX37" s="327"/>
      <c r="AY37" s="327"/>
      <c r="AZ37" s="295"/>
      <c r="BA37" s="295"/>
      <c r="BB37" s="321"/>
      <c r="BD37" s="523" t="str">
        <f>AR51</f>
        <v>Budget communication</v>
      </c>
      <c r="BE37" s="445"/>
      <c r="BF37" s="213">
        <f>AV51-AD51</f>
        <v>0</v>
      </c>
      <c r="BG37" s="213">
        <f>L51-AV51</f>
        <v>40000</v>
      </c>
      <c r="BH37" s="213">
        <f>IF(BF37+BG37=L51-AD51,BF37+BG37,"Erreur")</f>
        <v>40000</v>
      </c>
      <c r="BI37" s="213">
        <f t="shared" si="43"/>
        <v>0</v>
      </c>
      <c r="BJ37" s="213">
        <f t="shared" si="44"/>
        <v>0</v>
      </c>
      <c r="BK37" s="213">
        <f t="shared" si="45"/>
        <v>0</v>
      </c>
      <c r="BL37" s="213">
        <f t="shared" si="46"/>
        <v>0</v>
      </c>
      <c r="BM37" s="213">
        <f t="shared" si="47"/>
        <v>0</v>
      </c>
      <c r="BN37" s="307">
        <f t="shared" si="48"/>
        <v>0</v>
      </c>
    </row>
    <row r="38" spans="2:66">
      <c r="B38" s="309"/>
      <c r="C38" s="301"/>
      <c r="D38" s="301"/>
      <c r="E38" s="301"/>
      <c r="F38" s="301"/>
      <c r="G38" s="457"/>
      <c r="H38" s="460" t="str">
        <f>CONCATENATE("Stock de ",Donnees_de_jeu!C8)</f>
        <v>Stock de Scooter G3</v>
      </c>
      <c r="I38" s="460"/>
      <c r="J38" s="460"/>
      <c r="K38" s="460"/>
      <c r="L38" s="460"/>
      <c r="M38" s="460"/>
      <c r="N38" s="460"/>
      <c r="O38" s="460"/>
      <c r="P38" s="301"/>
      <c r="Q38" s="301"/>
      <c r="R38" s="302"/>
      <c r="T38" s="322"/>
      <c r="U38" s="474" t="s">
        <v>400</v>
      </c>
      <c r="V38" s="475"/>
      <c r="W38" s="476"/>
      <c r="X38" s="295"/>
      <c r="Y38" s="552"/>
      <c r="Z38" s="553" t="str">
        <f>H38</f>
        <v>Stock de Scooter G3</v>
      </c>
      <c r="AA38" s="553"/>
      <c r="AB38" s="553"/>
      <c r="AC38" s="553"/>
      <c r="AD38" s="553"/>
      <c r="AE38" s="553"/>
      <c r="AF38" s="553"/>
      <c r="AG38" s="553"/>
      <c r="AH38" s="295"/>
      <c r="AI38" s="295"/>
      <c r="AJ38" s="321"/>
      <c r="AL38" s="322"/>
      <c r="AM38" s="295"/>
      <c r="AN38" s="295"/>
      <c r="AO38" s="295"/>
      <c r="AP38" s="295"/>
      <c r="AQ38" s="552"/>
      <c r="AR38" s="553" t="str">
        <f>Z38</f>
        <v>Stock de Scooter G3</v>
      </c>
      <c r="AS38" s="553"/>
      <c r="AT38" s="553"/>
      <c r="AU38" s="553"/>
      <c r="AV38" s="553"/>
      <c r="AW38" s="553"/>
      <c r="AX38" s="553"/>
      <c r="AY38" s="553"/>
      <c r="AZ38" s="295"/>
      <c r="BA38" s="295"/>
      <c r="BB38" s="321"/>
      <c r="BD38" s="522" t="s">
        <v>312</v>
      </c>
      <c r="BE38" s="443"/>
      <c r="BF38" s="201"/>
      <c r="BG38" s="201"/>
      <c r="BH38" s="201"/>
      <c r="BI38" s="201"/>
      <c r="BJ38" s="201"/>
      <c r="BK38" s="201"/>
      <c r="BL38" s="201"/>
      <c r="BM38" s="201"/>
      <c r="BN38" s="298"/>
    </row>
    <row r="39" spans="2:66" ht="38.25">
      <c r="B39" s="309"/>
      <c r="C39" s="301"/>
      <c r="D39" s="301"/>
      <c r="E39" s="301"/>
      <c r="F39" s="301"/>
      <c r="G39" s="457"/>
      <c r="H39" s="217" t="s">
        <v>340</v>
      </c>
      <c r="I39" s="217" t="s">
        <v>341</v>
      </c>
      <c r="J39" s="217" t="s">
        <v>347</v>
      </c>
      <c r="K39" s="217" t="s">
        <v>338</v>
      </c>
      <c r="L39" s="217" t="s">
        <v>340</v>
      </c>
      <c r="M39" s="217" t="s">
        <v>341</v>
      </c>
      <c r="N39" s="217" t="s">
        <v>347</v>
      </c>
      <c r="O39" s="217" t="s">
        <v>338</v>
      </c>
      <c r="P39" s="301"/>
      <c r="Q39" s="301"/>
      <c r="R39" s="302"/>
      <c r="T39" s="322"/>
      <c r="U39" s="28"/>
      <c r="V39" s="28" t="s">
        <v>42</v>
      </c>
      <c r="W39" s="28" t="s">
        <v>428</v>
      </c>
      <c r="X39" s="295"/>
      <c r="Y39" s="552"/>
      <c r="Z39" s="255" t="s">
        <v>340</v>
      </c>
      <c r="AA39" s="255" t="s">
        <v>341</v>
      </c>
      <c r="AB39" s="255" t="s">
        <v>347</v>
      </c>
      <c r="AC39" s="255" t="s">
        <v>338</v>
      </c>
      <c r="AD39" s="255" t="s">
        <v>340</v>
      </c>
      <c r="AE39" s="255" t="s">
        <v>341</v>
      </c>
      <c r="AF39" s="255" t="s">
        <v>347</v>
      </c>
      <c r="AG39" s="255" t="s">
        <v>338</v>
      </c>
      <c r="AH39" s="295"/>
      <c r="AI39" s="295"/>
      <c r="AJ39" s="321"/>
      <c r="AL39" s="322"/>
      <c r="AM39" s="295"/>
      <c r="AN39" s="295"/>
      <c r="AO39" s="295"/>
      <c r="AP39" s="295"/>
      <c r="AQ39" s="552"/>
      <c r="AR39" s="255" t="s">
        <v>340</v>
      </c>
      <c r="AS39" s="255" t="s">
        <v>341</v>
      </c>
      <c r="AT39" s="255" t="s">
        <v>347</v>
      </c>
      <c r="AU39" s="255" t="s">
        <v>338</v>
      </c>
      <c r="AV39" s="255" t="s">
        <v>340</v>
      </c>
      <c r="AW39" s="255" t="s">
        <v>341</v>
      </c>
      <c r="AX39" s="255" t="s">
        <v>347</v>
      </c>
      <c r="AY39" s="255" t="s">
        <v>338</v>
      </c>
      <c r="AZ39" s="295"/>
      <c r="BA39" s="295"/>
      <c r="BB39" s="321"/>
      <c r="BD39" s="530" t="s">
        <v>31</v>
      </c>
      <c r="BE39" s="446"/>
      <c r="BF39" s="213">
        <f>AV53-AD53</f>
        <v>374980</v>
      </c>
      <c r="BG39" s="213">
        <f>L53-AV53</f>
        <v>165909</v>
      </c>
      <c r="BH39" s="213">
        <f>IF(BF39+BG39=L53-AD53,BF39+BG39,"Erreur")</f>
        <v>540889</v>
      </c>
      <c r="BI39" s="213">
        <f t="shared" ref="BI39" si="49">AY53-AG53</f>
        <v>0</v>
      </c>
      <c r="BJ39" s="213">
        <f t="shared" ref="BJ39" si="50">O53-AY53</f>
        <v>0</v>
      </c>
      <c r="BK39" s="213">
        <f t="shared" ref="BK39" si="51">IF(BI39+BJ39=O53-AG53,BI39+BJ39,"Erreur")</f>
        <v>0</v>
      </c>
      <c r="BL39" s="213">
        <f t="shared" ref="BL39" si="52">BB53-AJ53</f>
        <v>0</v>
      </c>
      <c r="BM39" s="213">
        <f t="shared" ref="BM39" si="53">R53-BB53</f>
        <v>0</v>
      </c>
      <c r="BN39" s="307">
        <f t="shared" ref="BN39" si="54">IF(BL39+BM39=R53-AJ53,BL39+BM39,"Erreur")</f>
        <v>0</v>
      </c>
    </row>
    <row r="40" spans="2:66">
      <c r="B40" s="309"/>
      <c r="C40" s="301"/>
      <c r="D40" s="301"/>
      <c r="E40" s="301"/>
      <c r="F40" s="301"/>
      <c r="G40" s="457"/>
      <c r="H40" s="217" t="s">
        <v>342</v>
      </c>
      <c r="I40" s="251">
        <f>Données_techniques!C17</f>
        <v>0</v>
      </c>
      <c r="J40" s="95">
        <f>Données_techniques!G17</f>
        <v>180</v>
      </c>
      <c r="K40" s="337">
        <f>I40*J40</f>
        <v>0</v>
      </c>
      <c r="L40" s="252"/>
      <c r="M40" s="252"/>
      <c r="N40" s="252"/>
      <c r="O40" s="252"/>
      <c r="P40" s="301"/>
      <c r="Q40" s="301"/>
      <c r="R40" s="302"/>
      <c r="T40" s="322"/>
      <c r="U40" s="2" t="str">
        <f>Donnees_de_jeu!$C6</f>
        <v>Scooter G1</v>
      </c>
      <c r="V40" s="270">
        <f>Données_techniques!C22</f>
        <v>0</v>
      </c>
      <c r="W40" s="270">
        <f>V40+V33-W33</f>
        <v>0</v>
      </c>
      <c r="X40" s="295"/>
      <c r="Y40" s="552"/>
      <c r="Z40" s="255" t="s">
        <v>342</v>
      </c>
      <c r="AA40" s="323">
        <f>Données_techniques!U17</f>
        <v>0</v>
      </c>
      <c r="AB40" s="187">
        <f>Données_techniques!Y17</f>
        <v>0</v>
      </c>
      <c r="AC40" s="340">
        <f>AA40*AB40</f>
        <v>0</v>
      </c>
      <c r="AD40" s="325"/>
      <c r="AE40" s="325"/>
      <c r="AF40" s="325"/>
      <c r="AG40" s="325"/>
      <c r="AH40" s="295"/>
      <c r="AI40" s="295"/>
      <c r="AJ40" s="321"/>
      <c r="AL40" s="322"/>
      <c r="AM40" s="295"/>
      <c r="AN40" s="295"/>
      <c r="AO40" s="295"/>
      <c r="AP40" s="295"/>
      <c r="AQ40" s="552"/>
      <c r="AR40" s="255" t="s">
        <v>342</v>
      </c>
      <c r="AS40" s="323">
        <f>Données_techniques!AM17</f>
        <v>0</v>
      </c>
      <c r="AT40" s="187">
        <f>Données_techniques!AQ17</f>
        <v>0</v>
      </c>
      <c r="AU40" s="340">
        <f>AS40*AT40</f>
        <v>0</v>
      </c>
      <c r="AV40" s="325"/>
      <c r="AW40" s="325"/>
      <c r="AX40" s="325"/>
      <c r="AY40" s="325"/>
      <c r="AZ40" s="295"/>
      <c r="BA40" s="295"/>
      <c r="BB40" s="321"/>
      <c r="BD40" s="344"/>
      <c r="BE40" s="327"/>
      <c r="BF40" s="327"/>
      <c r="BG40" s="327"/>
      <c r="BH40" s="327"/>
      <c r="BI40" s="327"/>
      <c r="BJ40" s="327"/>
      <c r="BK40" s="327"/>
      <c r="BL40" s="327"/>
      <c r="BM40" s="327"/>
      <c r="BN40" s="328"/>
    </row>
    <row r="41" spans="2:66" ht="25.5">
      <c r="B41" s="309"/>
      <c r="C41" s="301"/>
      <c r="D41" s="301"/>
      <c r="E41" s="301"/>
      <c r="F41" s="301"/>
      <c r="G41" s="457"/>
      <c r="H41" s="217" t="s">
        <v>346</v>
      </c>
      <c r="I41" s="251">
        <f>P22</f>
        <v>0</v>
      </c>
      <c r="J41" s="95" t="e">
        <f t="shared" ref="J41:K41" si="55">Q22</f>
        <v>#DIV/0!</v>
      </c>
      <c r="K41" s="95">
        <f t="shared" si="55"/>
        <v>0</v>
      </c>
      <c r="L41" s="217" t="s">
        <v>345</v>
      </c>
      <c r="M41" s="251">
        <f>E28</f>
        <v>0</v>
      </c>
      <c r="N41" s="95" t="e">
        <f>O41/M41</f>
        <v>#DIV/0!</v>
      </c>
      <c r="O41" s="95">
        <f>K43-O42</f>
        <v>0</v>
      </c>
      <c r="P41" s="301"/>
      <c r="Q41" s="301"/>
      <c r="R41" s="302"/>
      <c r="T41" s="322"/>
      <c r="U41" s="2" t="str">
        <f>Donnees_de_jeu!$C7</f>
        <v>Scooter G2</v>
      </c>
      <c r="V41" s="270">
        <f>Données_techniques!C23</f>
        <v>0</v>
      </c>
      <c r="W41" s="270">
        <f t="shared" ref="W41:W42" si="56">V41+V34-W34</f>
        <v>0</v>
      </c>
      <c r="X41" s="295"/>
      <c r="Y41" s="552"/>
      <c r="Z41" s="255" t="s">
        <v>346</v>
      </c>
      <c r="AA41" s="323">
        <f>AH22</f>
        <v>0</v>
      </c>
      <c r="AB41" s="187" t="e">
        <f t="shared" ref="AB41" si="57">AI22</f>
        <v>#DIV/0!</v>
      </c>
      <c r="AC41" s="187">
        <f t="shared" ref="AC41" si="58">AJ22</f>
        <v>0</v>
      </c>
      <c r="AD41" s="255" t="s">
        <v>345</v>
      </c>
      <c r="AE41" s="323">
        <f>W28</f>
        <v>0</v>
      </c>
      <c r="AF41" s="187" t="e">
        <f>AG41/AE41</f>
        <v>#DIV/0!</v>
      </c>
      <c r="AG41" s="187">
        <f>AC43-AG42</f>
        <v>0</v>
      </c>
      <c r="AH41" s="295"/>
      <c r="AI41" s="295"/>
      <c r="AJ41" s="321"/>
      <c r="AL41" s="322"/>
      <c r="AM41" s="295"/>
      <c r="AN41" s="295"/>
      <c r="AO41" s="295"/>
      <c r="AP41" s="295"/>
      <c r="AQ41" s="552"/>
      <c r="AR41" s="255" t="s">
        <v>346</v>
      </c>
      <c r="AS41" s="323">
        <f>AZ22</f>
        <v>0</v>
      </c>
      <c r="AT41" s="187" t="e">
        <f t="shared" ref="AT41" si="59">BA22</f>
        <v>#DIV/0!</v>
      </c>
      <c r="AU41" s="187">
        <f t="shared" ref="AU41" si="60">BB22</f>
        <v>0</v>
      </c>
      <c r="AV41" s="255" t="s">
        <v>345</v>
      </c>
      <c r="AW41" s="323">
        <f>AO28</f>
        <v>0</v>
      </c>
      <c r="AX41" s="187" t="e">
        <f>AY41/AW41</f>
        <v>#DIV/0!</v>
      </c>
      <c r="AY41" s="187">
        <f>AU43-AY42</f>
        <v>0</v>
      </c>
      <c r="AZ41" s="295"/>
      <c r="BA41" s="295"/>
      <c r="BB41" s="321"/>
      <c r="BD41" s="531" t="s">
        <v>406</v>
      </c>
      <c r="BE41" s="447"/>
      <c r="BF41" s="447"/>
      <c r="BG41" s="447"/>
      <c r="BH41" s="447"/>
      <c r="BI41" s="447"/>
      <c r="BJ41" s="447"/>
      <c r="BK41" s="447"/>
      <c r="BL41" s="447"/>
      <c r="BM41" s="447"/>
      <c r="BN41" s="532"/>
    </row>
    <row r="42" spans="2:66">
      <c r="B42" s="309"/>
      <c r="C42" s="301"/>
      <c r="D42" s="301"/>
      <c r="E42" s="301"/>
      <c r="F42" s="301"/>
      <c r="G42" s="457"/>
      <c r="H42" s="252"/>
      <c r="I42" s="256"/>
      <c r="J42" s="338"/>
      <c r="K42" s="338"/>
      <c r="L42" s="217" t="s">
        <v>343</v>
      </c>
      <c r="M42" s="251">
        <f>Données_techniques!F17</f>
        <v>0</v>
      </c>
      <c r="N42" s="95" t="e">
        <f>O42/M42</f>
        <v>#DIV/0!</v>
      </c>
      <c r="O42" s="95">
        <f>Données_comptables!C13</f>
        <v>0</v>
      </c>
      <c r="P42" s="301"/>
      <c r="Q42" s="301"/>
      <c r="R42" s="302"/>
      <c r="T42" s="322"/>
      <c r="U42" s="2" t="str">
        <f>Donnees_de_jeu!$C8</f>
        <v>Scooter G3</v>
      </c>
      <c r="V42" s="270"/>
      <c r="W42" s="270">
        <f t="shared" si="56"/>
        <v>0</v>
      </c>
      <c r="X42" s="295"/>
      <c r="Y42" s="552"/>
      <c r="Z42" s="325"/>
      <c r="AA42" s="326"/>
      <c r="AB42" s="341"/>
      <c r="AC42" s="341"/>
      <c r="AD42" s="255" t="s">
        <v>343</v>
      </c>
      <c r="AE42" s="323">
        <f>AA43-AE41</f>
        <v>0</v>
      </c>
      <c r="AF42" s="187">
        <f>Données_techniques!G17</f>
        <v>180</v>
      </c>
      <c r="AG42" s="187">
        <f>AE42*AF42</f>
        <v>0</v>
      </c>
      <c r="AH42" s="295"/>
      <c r="AI42" s="295"/>
      <c r="AJ42" s="321"/>
      <c r="AL42" s="322"/>
      <c r="AM42" s="295"/>
      <c r="AN42" s="295"/>
      <c r="AO42" s="295"/>
      <c r="AP42" s="295"/>
      <c r="AQ42" s="552"/>
      <c r="AR42" s="325"/>
      <c r="AS42" s="326"/>
      <c r="AT42" s="341"/>
      <c r="AU42" s="341"/>
      <c r="AV42" s="255" t="s">
        <v>343</v>
      </c>
      <c r="AW42" s="323">
        <f>AS43-AW41</f>
        <v>0</v>
      </c>
      <c r="AX42" s="187">
        <f>Données_techniques!G17</f>
        <v>180</v>
      </c>
      <c r="AY42" s="187">
        <f>AW42*AX42</f>
        <v>0</v>
      </c>
      <c r="AZ42" s="295"/>
      <c r="BA42" s="295"/>
      <c r="BB42" s="321"/>
      <c r="BD42" s="533"/>
      <c r="BE42" s="449"/>
      <c r="BF42" s="518" t="str">
        <f>BF32</f>
        <v>Scooter G1</v>
      </c>
      <c r="BG42" s="519"/>
      <c r="BH42" s="529"/>
      <c r="BI42" s="518" t="str">
        <f t="shared" ref="BI42" si="61">BI32</f>
        <v>Scooter G2</v>
      </c>
      <c r="BJ42" s="519"/>
      <c r="BK42" s="529"/>
      <c r="BL42" s="518" t="str">
        <f t="shared" ref="BL42" si="62">BL32</f>
        <v>Scooter G3</v>
      </c>
      <c r="BM42" s="519"/>
      <c r="BN42" s="520"/>
    </row>
    <row r="43" spans="2:66" ht="38.25">
      <c r="B43" s="309"/>
      <c r="C43" s="301"/>
      <c r="D43" s="301"/>
      <c r="E43" s="301"/>
      <c r="F43" s="301"/>
      <c r="G43" s="457"/>
      <c r="H43" s="217" t="s">
        <v>344</v>
      </c>
      <c r="I43" s="251">
        <f>I40+I41</f>
        <v>0</v>
      </c>
      <c r="J43" s="95" t="e">
        <f>K43/I43</f>
        <v>#DIV/0!</v>
      </c>
      <c r="K43" s="95">
        <f>K40+K41</f>
        <v>0</v>
      </c>
      <c r="L43" s="217" t="s">
        <v>344</v>
      </c>
      <c r="M43" s="251">
        <f>M41+M42</f>
        <v>0</v>
      </c>
      <c r="N43" s="95" t="e">
        <f>O43/M43</f>
        <v>#DIV/0!</v>
      </c>
      <c r="O43" s="95">
        <f>O41+O42</f>
        <v>0</v>
      </c>
      <c r="P43" s="301"/>
      <c r="Q43" s="301"/>
      <c r="R43" s="302"/>
      <c r="T43" s="322"/>
      <c r="U43" s="28" t="s">
        <v>31</v>
      </c>
      <c r="V43" s="50">
        <f>SUM(V40:V42)</f>
        <v>0</v>
      </c>
      <c r="W43" s="50">
        <f>SUM(W40:W42)</f>
        <v>0</v>
      </c>
      <c r="X43" s="295"/>
      <c r="Y43" s="552"/>
      <c r="Z43" s="255" t="s">
        <v>344</v>
      </c>
      <c r="AA43" s="323">
        <f>AA40+AA41</f>
        <v>0</v>
      </c>
      <c r="AB43" s="187" t="e">
        <f>AC43/AA43</f>
        <v>#DIV/0!</v>
      </c>
      <c r="AC43" s="187">
        <f>AC40+AC41</f>
        <v>0</v>
      </c>
      <c r="AD43" s="255" t="s">
        <v>344</v>
      </c>
      <c r="AE43" s="323">
        <f>AE41+AE42</f>
        <v>0</v>
      </c>
      <c r="AF43" s="187" t="e">
        <f>AG43/AE43</f>
        <v>#DIV/0!</v>
      </c>
      <c r="AG43" s="187">
        <f>AG41+AG42</f>
        <v>0</v>
      </c>
      <c r="AH43" s="295"/>
      <c r="AI43" s="295"/>
      <c r="AJ43" s="321"/>
      <c r="AL43" s="322"/>
      <c r="AM43" s="295"/>
      <c r="AN43" s="295"/>
      <c r="AO43" s="295"/>
      <c r="AP43" s="295"/>
      <c r="AQ43" s="552"/>
      <c r="AR43" s="255" t="s">
        <v>344</v>
      </c>
      <c r="AS43" s="323">
        <f>AS40+AS41</f>
        <v>0</v>
      </c>
      <c r="AT43" s="187" t="e">
        <f>AU43/AS43</f>
        <v>#DIV/0!</v>
      </c>
      <c r="AU43" s="187">
        <f>AU40+AU41</f>
        <v>0</v>
      </c>
      <c r="AV43" s="255" t="s">
        <v>344</v>
      </c>
      <c r="AW43" s="323">
        <f>AW41+AW42</f>
        <v>0</v>
      </c>
      <c r="AX43" s="187" t="e">
        <f>AY43/AW43</f>
        <v>#DIV/0!</v>
      </c>
      <c r="AY43" s="187">
        <f>AY41+AY42</f>
        <v>0</v>
      </c>
      <c r="AZ43" s="295"/>
      <c r="BA43" s="295"/>
      <c r="BB43" s="321"/>
      <c r="BD43" s="534"/>
      <c r="BE43" s="451"/>
      <c r="BF43" s="28" t="s">
        <v>411</v>
      </c>
      <c r="BG43" s="28" t="s">
        <v>412</v>
      </c>
      <c r="BH43" s="28" t="s">
        <v>413</v>
      </c>
      <c r="BI43" s="28" t="s">
        <v>411</v>
      </c>
      <c r="BJ43" s="28" t="s">
        <v>412</v>
      </c>
      <c r="BK43" s="28" t="s">
        <v>413</v>
      </c>
      <c r="BL43" s="28" t="s">
        <v>411</v>
      </c>
      <c r="BM43" s="28" t="s">
        <v>412</v>
      </c>
      <c r="BN43" s="297" t="s">
        <v>413</v>
      </c>
    </row>
    <row r="44" spans="2:66">
      <c r="B44" s="309"/>
      <c r="C44" s="301"/>
      <c r="D44" s="301"/>
      <c r="E44" s="301"/>
      <c r="F44" s="301"/>
      <c r="G44" s="301"/>
      <c r="H44" s="301"/>
      <c r="I44" s="301"/>
      <c r="J44" s="301"/>
      <c r="K44" s="301"/>
      <c r="L44" s="301"/>
      <c r="M44" s="301"/>
      <c r="N44" s="301"/>
      <c r="O44" s="301"/>
      <c r="P44" s="301"/>
      <c r="Q44" s="301"/>
      <c r="R44" s="302"/>
      <c r="T44" s="322"/>
      <c r="U44" s="295"/>
      <c r="V44" s="295"/>
      <c r="W44" s="295"/>
      <c r="X44" s="295"/>
      <c r="Y44" s="295"/>
      <c r="Z44" s="295"/>
      <c r="AA44" s="295"/>
      <c r="AB44" s="295"/>
      <c r="AC44" s="295"/>
      <c r="AD44" s="295"/>
      <c r="AE44" s="295"/>
      <c r="AF44" s="295"/>
      <c r="AG44" s="295"/>
      <c r="AH44" s="295"/>
      <c r="AI44" s="295"/>
      <c r="AJ44" s="321"/>
      <c r="AL44" s="322"/>
      <c r="AM44" s="295"/>
      <c r="AN44" s="295"/>
      <c r="AO44" s="295"/>
      <c r="AP44" s="295"/>
      <c r="AQ44" s="295"/>
      <c r="AR44" s="295"/>
      <c r="AS44" s="295"/>
      <c r="AT44" s="295"/>
      <c r="AU44" s="295"/>
      <c r="AV44" s="295"/>
      <c r="AW44" s="295"/>
      <c r="AX44" s="295"/>
      <c r="AY44" s="295"/>
      <c r="AZ44" s="295"/>
      <c r="BA44" s="295"/>
      <c r="BB44" s="321"/>
      <c r="BD44" s="521" t="s">
        <v>352</v>
      </c>
      <c r="BE44" s="456"/>
      <c r="BF44" s="213">
        <f>AV58-AD58</f>
        <v>374980</v>
      </c>
      <c r="BG44" s="213">
        <f>L58-AV58</f>
        <v>165909</v>
      </c>
      <c r="BH44" s="213">
        <f>IF(BF44+BG44=L58-AD58,BF44+BG44,"Erreur")</f>
        <v>540889</v>
      </c>
      <c r="BI44" s="213">
        <f t="shared" ref="BI44" si="63">AY58-AG58</f>
        <v>0</v>
      </c>
      <c r="BJ44" s="213">
        <f t="shared" ref="BJ44" si="64">O58-AY58</f>
        <v>0</v>
      </c>
      <c r="BK44" s="213">
        <f t="shared" ref="BK44" si="65">IF(BI44+BJ44=O58-AG58,BI44+BJ44,"Erreur")</f>
        <v>0</v>
      </c>
      <c r="BL44" s="213">
        <f t="shared" ref="BL44" si="66">BB58-AJ58</f>
        <v>0</v>
      </c>
      <c r="BM44" s="213">
        <f t="shared" ref="BM44" si="67">R58-BB58</f>
        <v>0</v>
      </c>
      <c r="BN44" s="307">
        <f t="shared" ref="BN44" si="68">IF(BL44+BM44=R58-AJ58,BL44+BM44,"Erreur")</f>
        <v>0</v>
      </c>
    </row>
    <row r="45" spans="2:66">
      <c r="B45" s="309"/>
      <c r="C45" s="301"/>
      <c r="D45" s="301"/>
      <c r="E45" s="301"/>
      <c r="F45" s="301"/>
      <c r="G45" s="301"/>
      <c r="H45" s="447" t="s">
        <v>349</v>
      </c>
      <c r="I45" s="447"/>
      <c r="J45" s="447"/>
      <c r="K45" s="447"/>
      <c r="L45" s="447"/>
      <c r="M45" s="447"/>
      <c r="N45" s="447"/>
      <c r="O45" s="447"/>
      <c r="P45" s="447"/>
      <c r="Q45" s="447"/>
      <c r="R45" s="532"/>
      <c r="T45" s="322"/>
      <c r="U45" s="295"/>
      <c r="V45" s="295"/>
      <c r="W45" s="295"/>
      <c r="X45" s="295"/>
      <c r="Y45" s="295"/>
      <c r="Z45" s="447" t="s">
        <v>349</v>
      </c>
      <c r="AA45" s="447"/>
      <c r="AB45" s="447"/>
      <c r="AC45" s="447"/>
      <c r="AD45" s="447"/>
      <c r="AE45" s="447"/>
      <c r="AF45" s="447"/>
      <c r="AG45" s="447"/>
      <c r="AH45" s="447"/>
      <c r="AI45" s="447"/>
      <c r="AJ45" s="532"/>
      <c r="AL45" s="322"/>
      <c r="AM45" s="295"/>
      <c r="AN45" s="295"/>
      <c r="AO45" s="295"/>
      <c r="AP45" s="295"/>
      <c r="AQ45" s="295"/>
      <c r="AR45" s="447" t="s">
        <v>349</v>
      </c>
      <c r="AS45" s="447"/>
      <c r="AT45" s="447"/>
      <c r="AU45" s="447"/>
      <c r="AV45" s="447"/>
      <c r="AW45" s="447"/>
      <c r="AX45" s="447"/>
      <c r="AY45" s="447"/>
      <c r="AZ45" s="447"/>
      <c r="BA45" s="447"/>
      <c r="BB45" s="532"/>
      <c r="BD45" s="522" t="s">
        <v>311</v>
      </c>
      <c r="BE45" s="443"/>
      <c r="BF45" s="201"/>
      <c r="BG45" s="201"/>
      <c r="BH45" s="201"/>
      <c r="BI45" s="201"/>
      <c r="BJ45" s="201"/>
      <c r="BK45" s="201"/>
      <c r="BL45" s="201"/>
      <c r="BM45" s="201"/>
      <c r="BN45" s="298"/>
    </row>
    <row r="46" spans="2:66">
      <c r="B46" s="309"/>
      <c r="C46" s="301"/>
      <c r="D46" s="301"/>
      <c r="E46" s="301"/>
      <c r="F46" s="301"/>
      <c r="G46" s="301"/>
      <c r="H46" s="461"/>
      <c r="I46" s="462"/>
      <c r="J46" s="452" t="str">
        <f>J14</f>
        <v>Scooter G1</v>
      </c>
      <c r="K46" s="453"/>
      <c r="L46" s="454"/>
      <c r="M46" s="452" t="str">
        <f>M14</f>
        <v>Scooter G2</v>
      </c>
      <c r="N46" s="453"/>
      <c r="O46" s="454"/>
      <c r="P46" s="452" t="str">
        <f>P14</f>
        <v>Scooter G3</v>
      </c>
      <c r="Q46" s="453"/>
      <c r="R46" s="544"/>
      <c r="T46" s="322"/>
      <c r="U46" s="295"/>
      <c r="V46" s="295"/>
      <c r="W46" s="295"/>
      <c r="X46" s="295"/>
      <c r="Y46" s="295"/>
      <c r="Z46" s="461"/>
      <c r="AA46" s="462"/>
      <c r="AB46" s="518" t="str">
        <f>J46</f>
        <v>Scooter G1</v>
      </c>
      <c r="AC46" s="519"/>
      <c r="AD46" s="529"/>
      <c r="AE46" s="518" t="str">
        <f t="shared" ref="AE46" si="69">M46</f>
        <v>Scooter G2</v>
      </c>
      <c r="AF46" s="519"/>
      <c r="AG46" s="529"/>
      <c r="AH46" s="518" t="str">
        <f t="shared" ref="AH46" si="70">P46</f>
        <v>Scooter G3</v>
      </c>
      <c r="AI46" s="519"/>
      <c r="AJ46" s="520"/>
      <c r="AL46" s="322"/>
      <c r="AM46" s="295"/>
      <c r="AN46" s="295"/>
      <c r="AO46" s="295"/>
      <c r="AP46" s="295"/>
      <c r="AQ46" s="295"/>
      <c r="AR46" s="461"/>
      <c r="AS46" s="462"/>
      <c r="AT46" s="518" t="str">
        <f>AB46</f>
        <v>Scooter G1</v>
      </c>
      <c r="AU46" s="519"/>
      <c r="AV46" s="529"/>
      <c r="AW46" s="518" t="str">
        <f t="shared" ref="AW46" si="71">AE46</f>
        <v>Scooter G2</v>
      </c>
      <c r="AX46" s="519"/>
      <c r="AY46" s="529"/>
      <c r="AZ46" s="518" t="str">
        <f t="shared" ref="AZ46" si="72">AH46</f>
        <v>Scooter G3</v>
      </c>
      <c r="BA46" s="519"/>
      <c r="BB46" s="520"/>
      <c r="BD46" s="522" t="s">
        <v>312</v>
      </c>
      <c r="BE46" s="443"/>
      <c r="BF46" s="201"/>
      <c r="BG46" s="201"/>
      <c r="BH46" s="201"/>
      <c r="BI46" s="201"/>
      <c r="BJ46" s="201"/>
      <c r="BK46" s="201"/>
      <c r="BL46" s="201"/>
      <c r="BM46" s="201"/>
      <c r="BN46" s="298"/>
    </row>
    <row r="47" spans="2:66" ht="25.5" customHeight="1">
      <c r="B47" s="309"/>
      <c r="C47" s="301"/>
      <c r="D47" s="301"/>
      <c r="E47" s="301"/>
      <c r="F47" s="301"/>
      <c r="G47" s="301"/>
      <c r="H47" s="463"/>
      <c r="I47" s="464"/>
      <c r="J47" s="28" t="s">
        <v>336</v>
      </c>
      <c r="K47" s="28" t="s">
        <v>337</v>
      </c>
      <c r="L47" s="28" t="s">
        <v>338</v>
      </c>
      <c r="M47" s="28" t="s">
        <v>336</v>
      </c>
      <c r="N47" s="28" t="s">
        <v>337</v>
      </c>
      <c r="O47" s="28" t="s">
        <v>338</v>
      </c>
      <c r="P47" s="28" t="s">
        <v>336</v>
      </c>
      <c r="Q47" s="28" t="s">
        <v>337</v>
      </c>
      <c r="R47" s="297" t="s">
        <v>338</v>
      </c>
      <c r="T47" s="322"/>
      <c r="U47" s="295"/>
      <c r="V47" s="295"/>
      <c r="W47" s="295"/>
      <c r="X47" s="295"/>
      <c r="Y47" s="295"/>
      <c r="Z47" s="463"/>
      <c r="AA47" s="464"/>
      <c r="AB47" s="28" t="s">
        <v>336</v>
      </c>
      <c r="AC47" s="28" t="s">
        <v>337</v>
      </c>
      <c r="AD47" s="28" t="s">
        <v>338</v>
      </c>
      <c r="AE47" s="28" t="s">
        <v>336</v>
      </c>
      <c r="AF47" s="28" t="s">
        <v>337</v>
      </c>
      <c r="AG47" s="28" t="s">
        <v>338</v>
      </c>
      <c r="AH47" s="28" t="s">
        <v>336</v>
      </c>
      <c r="AI47" s="28" t="s">
        <v>337</v>
      </c>
      <c r="AJ47" s="297" t="s">
        <v>338</v>
      </c>
      <c r="AL47" s="322"/>
      <c r="AM47" s="295"/>
      <c r="AN47" s="295"/>
      <c r="AO47" s="295"/>
      <c r="AP47" s="295"/>
      <c r="AQ47" s="295"/>
      <c r="AR47" s="463"/>
      <c r="AS47" s="464"/>
      <c r="AT47" s="28" t="s">
        <v>336</v>
      </c>
      <c r="AU47" s="28" t="s">
        <v>337</v>
      </c>
      <c r="AV47" s="28" t="s">
        <v>338</v>
      </c>
      <c r="AW47" s="28" t="s">
        <v>336</v>
      </c>
      <c r="AX47" s="28" t="s">
        <v>337</v>
      </c>
      <c r="AY47" s="28" t="s">
        <v>338</v>
      </c>
      <c r="AZ47" s="28" t="s">
        <v>336</v>
      </c>
      <c r="BA47" s="28" t="s">
        <v>337</v>
      </c>
      <c r="BB47" s="297" t="s">
        <v>338</v>
      </c>
      <c r="BD47" s="523" t="str">
        <f>AR61</f>
        <v>Administration</v>
      </c>
      <c r="BE47" s="445"/>
      <c r="BF47" s="213">
        <f>AV61-AD61</f>
        <v>26302.55395683453</v>
      </c>
      <c r="BG47" s="213">
        <f>L61-AV61</f>
        <v>4623.1133093525168</v>
      </c>
      <c r="BH47" s="213">
        <f>IF(BF47+BG47=L61-AD61,BF47+BG47,"Erreur")</f>
        <v>30925.667266187047</v>
      </c>
      <c r="BI47" s="213">
        <f t="shared" ref="BI47:BI48" si="73">AY61-AG61</f>
        <v>0</v>
      </c>
      <c r="BJ47" s="213">
        <f t="shared" ref="BJ47:BJ48" si="74">O61-AY61</f>
        <v>0</v>
      </c>
      <c r="BK47" s="213">
        <f t="shared" ref="BK47:BK48" si="75">IF(BI47+BJ47=O61-AG61,BI47+BJ47,"Erreur")</f>
        <v>0</v>
      </c>
      <c r="BL47" s="213">
        <f t="shared" ref="BL47:BL48" si="76">BB61-AJ61</f>
        <v>0</v>
      </c>
      <c r="BM47" s="213">
        <f t="shared" ref="BM47:BM48" si="77">R61-BB61</f>
        <v>0</v>
      </c>
      <c r="BN47" s="307">
        <f t="shared" ref="BN47:BN48" si="78">IF(BL47+BM47=R61-AJ61,BL47+BM47,"Erreur")</f>
        <v>0</v>
      </c>
    </row>
    <row r="48" spans="2:66" ht="24.75" customHeight="1" thickBot="1">
      <c r="B48" s="309"/>
      <c r="C48" s="301"/>
      <c r="D48" s="301"/>
      <c r="E48" s="301"/>
      <c r="F48" s="301"/>
      <c r="G48" s="301"/>
      <c r="H48" s="455" t="s">
        <v>350</v>
      </c>
      <c r="I48" s="456"/>
      <c r="J48" s="247">
        <f>M27</f>
        <v>2015</v>
      </c>
      <c r="K48" s="213">
        <f t="shared" ref="K48:L48" si="79">N27</f>
        <v>218.81290322580645</v>
      </c>
      <c r="L48" s="213">
        <f t="shared" si="79"/>
        <v>440908</v>
      </c>
      <c r="M48" s="247">
        <f>M34</f>
        <v>0</v>
      </c>
      <c r="N48" s="213" t="e">
        <f t="shared" ref="N48:O48" si="80">N34</f>
        <v>#DIV/0!</v>
      </c>
      <c r="O48" s="213">
        <f t="shared" si="80"/>
        <v>0</v>
      </c>
      <c r="P48" s="247">
        <f>M41</f>
        <v>0</v>
      </c>
      <c r="Q48" s="213" t="e">
        <f t="shared" ref="Q48:R48" si="81">N41</f>
        <v>#DIV/0!</v>
      </c>
      <c r="R48" s="307">
        <f t="shared" si="81"/>
        <v>0</v>
      </c>
      <c r="T48" s="322"/>
      <c r="U48" s="295"/>
      <c r="V48" s="295"/>
      <c r="W48" s="295"/>
      <c r="X48" s="295"/>
      <c r="Y48" s="295"/>
      <c r="Z48" s="455" t="s">
        <v>350</v>
      </c>
      <c r="AA48" s="456"/>
      <c r="AB48" s="247">
        <f>AE27</f>
        <v>0</v>
      </c>
      <c r="AC48" s="213" t="e">
        <f>AF27</f>
        <v>#DIV/0!</v>
      </c>
      <c r="AD48" s="213">
        <f t="shared" ref="AD48" si="82">AG27</f>
        <v>19</v>
      </c>
      <c r="AE48" s="247">
        <f>AE34</f>
        <v>0</v>
      </c>
      <c r="AF48" s="213" t="e">
        <f t="shared" ref="AF48:AG48" si="83">AF34</f>
        <v>#DIV/0!</v>
      </c>
      <c r="AG48" s="213">
        <f t="shared" si="83"/>
        <v>0</v>
      </c>
      <c r="AH48" s="247">
        <f>AE41</f>
        <v>0</v>
      </c>
      <c r="AI48" s="213" t="e">
        <f t="shared" ref="AI48" si="84">AF41</f>
        <v>#DIV/0!</v>
      </c>
      <c r="AJ48" s="307">
        <f t="shared" ref="AJ48" si="85">AG41</f>
        <v>0</v>
      </c>
      <c r="AL48" s="322"/>
      <c r="AM48" s="295"/>
      <c r="AN48" s="295"/>
      <c r="AO48" s="295"/>
      <c r="AP48" s="295"/>
      <c r="AQ48" s="295"/>
      <c r="AR48" s="455" t="s">
        <v>350</v>
      </c>
      <c r="AS48" s="456"/>
      <c r="AT48" s="247">
        <f>AW27</f>
        <v>2015</v>
      </c>
      <c r="AU48" s="213">
        <f>AX27</f>
        <v>186.10372208436723</v>
      </c>
      <c r="AV48" s="213">
        <f t="shared" ref="AV48" si="86">AY27</f>
        <v>374999</v>
      </c>
      <c r="AW48" s="247">
        <f>AW34</f>
        <v>0</v>
      </c>
      <c r="AX48" s="213" t="e">
        <f t="shared" ref="AX48:AY48" si="87">AX34</f>
        <v>#DIV/0!</v>
      </c>
      <c r="AY48" s="213">
        <f t="shared" si="87"/>
        <v>0</v>
      </c>
      <c r="AZ48" s="247">
        <f>AW41</f>
        <v>0</v>
      </c>
      <c r="BA48" s="213" t="e">
        <f t="shared" ref="BA48" si="88">AX41</f>
        <v>#DIV/0!</v>
      </c>
      <c r="BB48" s="307">
        <f t="shared" ref="BB48" si="89">AY41</f>
        <v>0</v>
      </c>
      <c r="BD48" s="524" t="s">
        <v>31</v>
      </c>
      <c r="BE48" s="525"/>
      <c r="BF48" s="318">
        <f>AV62-AD62</f>
        <v>401282.55395683448</v>
      </c>
      <c r="BG48" s="318">
        <f>L62-AV62</f>
        <v>170532.11330935254</v>
      </c>
      <c r="BH48" s="318">
        <f>IF(BF48+BG48=L62-AD62,BF48+BG48,"Erreur")</f>
        <v>571814.66726618703</v>
      </c>
      <c r="BI48" s="318">
        <f t="shared" si="73"/>
        <v>0</v>
      </c>
      <c r="BJ48" s="318">
        <f t="shared" si="74"/>
        <v>0</v>
      </c>
      <c r="BK48" s="318">
        <f t="shared" si="75"/>
        <v>0</v>
      </c>
      <c r="BL48" s="318">
        <f t="shared" si="76"/>
        <v>0</v>
      </c>
      <c r="BM48" s="318">
        <f t="shared" si="77"/>
        <v>0</v>
      </c>
      <c r="BN48" s="359">
        <f t="shared" si="78"/>
        <v>0</v>
      </c>
    </row>
    <row r="49" spans="2:54" ht="13.5" thickTop="1">
      <c r="B49" s="309"/>
      <c r="C49" s="301"/>
      <c r="D49" s="301"/>
      <c r="E49" s="301"/>
      <c r="F49" s="301"/>
      <c r="G49" s="301"/>
      <c r="H49" s="443" t="s">
        <v>311</v>
      </c>
      <c r="I49" s="443"/>
      <c r="J49" s="248"/>
      <c r="K49" s="201"/>
      <c r="L49" s="201"/>
      <c r="M49" s="248"/>
      <c r="N49" s="201"/>
      <c r="O49" s="201"/>
      <c r="P49" s="248"/>
      <c r="Q49" s="201"/>
      <c r="R49" s="298"/>
      <c r="T49" s="322"/>
      <c r="U49" s="295"/>
      <c r="V49" s="295"/>
      <c r="W49" s="295"/>
      <c r="X49" s="295"/>
      <c r="Y49" s="295"/>
      <c r="Z49" s="443" t="s">
        <v>311</v>
      </c>
      <c r="AA49" s="443"/>
      <c r="AB49" s="248"/>
      <c r="AC49" s="201"/>
      <c r="AD49" s="201"/>
      <c r="AE49" s="248"/>
      <c r="AF49" s="201"/>
      <c r="AG49" s="201"/>
      <c r="AH49" s="248"/>
      <c r="AI49" s="201"/>
      <c r="AJ49" s="298"/>
      <c r="AL49" s="322"/>
      <c r="AM49" s="295"/>
      <c r="AN49" s="295"/>
      <c r="AO49" s="295"/>
      <c r="AP49" s="295"/>
      <c r="AQ49" s="295"/>
      <c r="AR49" s="443" t="s">
        <v>311</v>
      </c>
      <c r="AS49" s="443"/>
      <c r="AT49" s="248"/>
      <c r="AU49" s="201"/>
      <c r="AV49" s="201"/>
      <c r="AW49" s="248"/>
      <c r="AX49" s="201"/>
      <c r="AY49" s="201"/>
      <c r="AZ49" s="248"/>
      <c r="BA49" s="201"/>
      <c r="BB49" s="298"/>
    </row>
    <row r="50" spans="2:54" ht="27.75" customHeight="1">
      <c r="B50" s="309"/>
      <c r="C50" s="301"/>
      <c r="D50" s="301"/>
      <c r="E50" s="301"/>
      <c r="F50" s="301"/>
      <c r="G50" s="301"/>
      <c r="H50" s="444" t="str">
        <f>Charges_compta_analytique!B11</f>
        <v>Frais fixes d’administration et distribution</v>
      </c>
      <c r="I50" s="445"/>
      <c r="J50" s="248"/>
      <c r="K50" s="201"/>
      <c r="L50" s="213">
        <f>Charges_compta_analytique!J11</f>
        <v>60000</v>
      </c>
      <c r="M50" s="248"/>
      <c r="N50" s="201"/>
      <c r="O50" s="213">
        <f>Charges_compta_analytique!J12</f>
        <v>0</v>
      </c>
      <c r="P50" s="248"/>
      <c r="Q50" s="201"/>
      <c r="R50" s="307">
        <f>Charges_compta_analytique!J13</f>
        <v>0</v>
      </c>
      <c r="T50" s="322"/>
      <c r="U50" s="295"/>
      <c r="V50" s="295"/>
      <c r="W50" s="295"/>
      <c r="X50" s="295"/>
      <c r="Y50" s="295"/>
      <c r="Z50" s="444" t="str">
        <f>H50</f>
        <v>Frais fixes d’administration et distribution</v>
      </c>
      <c r="AA50" s="445"/>
      <c r="AB50" s="248"/>
      <c r="AC50" s="201"/>
      <c r="AD50" s="213">
        <f>IF(W26&gt;0,30000,0)</f>
        <v>0</v>
      </c>
      <c r="AE50" s="248"/>
      <c r="AF50" s="201"/>
      <c r="AG50" s="213">
        <f>IF(W27&gt;0,30000,0)</f>
        <v>0</v>
      </c>
      <c r="AH50" s="248"/>
      <c r="AI50" s="201"/>
      <c r="AJ50" s="307">
        <f>IF(W28&gt;0,30000,0)</f>
        <v>0</v>
      </c>
      <c r="AL50" s="322"/>
      <c r="AM50" s="295"/>
      <c r="AN50" s="295"/>
      <c r="AO50" s="295"/>
      <c r="AP50" s="295"/>
      <c r="AQ50" s="295"/>
      <c r="AR50" s="444" t="str">
        <f>Z50</f>
        <v>Frais fixes d’administration et distribution</v>
      </c>
      <c r="AS50" s="445"/>
      <c r="AT50" s="248"/>
      <c r="AU50" s="201"/>
      <c r="AV50" s="213">
        <f>AD50</f>
        <v>0</v>
      </c>
      <c r="AW50" s="248"/>
      <c r="AX50" s="201"/>
      <c r="AY50" s="213">
        <f>AG50</f>
        <v>0</v>
      </c>
      <c r="AZ50" s="248"/>
      <c r="BA50" s="201"/>
      <c r="BB50" s="307">
        <f>AJ50</f>
        <v>0</v>
      </c>
    </row>
    <row r="51" spans="2:54">
      <c r="B51" s="309"/>
      <c r="C51" s="301"/>
      <c r="D51" s="301"/>
      <c r="E51" s="301"/>
      <c r="F51" s="301"/>
      <c r="G51" s="301"/>
      <c r="H51" s="458" t="str">
        <f>Charges_compta_analytique!B14</f>
        <v>Budget communication</v>
      </c>
      <c r="I51" s="459"/>
      <c r="J51" s="248"/>
      <c r="K51" s="201"/>
      <c r="L51" s="254">
        <f>Charges_compta_analytique!J14</f>
        <v>40000</v>
      </c>
      <c r="M51" s="248"/>
      <c r="N51" s="201"/>
      <c r="O51" s="254">
        <f>Charges_compta_analytique!J15</f>
        <v>0</v>
      </c>
      <c r="P51" s="248"/>
      <c r="Q51" s="201"/>
      <c r="R51" s="312">
        <f>Charges_compta_analytique!J16</f>
        <v>0</v>
      </c>
      <c r="T51" s="322"/>
      <c r="U51" s="295"/>
      <c r="V51" s="295"/>
      <c r="W51" s="295"/>
      <c r="X51" s="295"/>
      <c r="Y51" s="295"/>
      <c r="Z51" s="444" t="str">
        <f>H51</f>
        <v>Budget communication</v>
      </c>
      <c r="AA51" s="445"/>
      <c r="AB51" s="248"/>
      <c r="AC51" s="201"/>
      <c r="AD51" s="93">
        <f>W40</f>
        <v>0</v>
      </c>
      <c r="AE51" s="248"/>
      <c r="AF51" s="201"/>
      <c r="AG51" s="93">
        <f>W41</f>
        <v>0</v>
      </c>
      <c r="AH51" s="248"/>
      <c r="AI51" s="201"/>
      <c r="AJ51" s="358">
        <f>W42</f>
        <v>0</v>
      </c>
      <c r="AL51" s="322"/>
      <c r="AM51" s="295"/>
      <c r="AN51" s="295"/>
      <c r="AO51" s="295"/>
      <c r="AP51" s="295"/>
      <c r="AQ51" s="295"/>
      <c r="AR51" s="444" t="str">
        <f>Z51</f>
        <v>Budget communication</v>
      </c>
      <c r="AS51" s="445"/>
      <c r="AT51" s="248"/>
      <c r="AU51" s="201"/>
      <c r="AV51" s="234">
        <f>AD51</f>
        <v>0</v>
      </c>
      <c r="AW51" s="248"/>
      <c r="AX51" s="201"/>
      <c r="AY51" s="234">
        <f>AG51</f>
        <v>0</v>
      </c>
      <c r="AZ51" s="248"/>
      <c r="BA51" s="201"/>
      <c r="BB51" s="342">
        <f>AJ51</f>
        <v>0</v>
      </c>
    </row>
    <row r="52" spans="2:54">
      <c r="B52" s="309"/>
      <c r="C52" s="301"/>
      <c r="D52" s="301"/>
      <c r="E52" s="301"/>
      <c r="F52" s="301"/>
      <c r="G52" s="301"/>
      <c r="H52" s="443" t="s">
        <v>312</v>
      </c>
      <c r="I52" s="443"/>
      <c r="J52" s="248"/>
      <c r="K52" s="201"/>
      <c r="L52" s="201"/>
      <c r="M52" s="248"/>
      <c r="N52" s="201"/>
      <c r="O52" s="201"/>
      <c r="P52" s="248"/>
      <c r="Q52" s="201"/>
      <c r="R52" s="298"/>
      <c r="T52" s="322"/>
      <c r="U52" s="295"/>
      <c r="V52" s="295"/>
      <c r="W52" s="295"/>
      <c r="X52" s="295"/>
      <c r="Y52" s="295"/>
      <c r="Z52" s="443" t="s">
        <v>312</v>
      </c>
      <c r="AA52" s="443"/>
      <c r="AB52" s="248"/>
      <c r="AC52" s="201"/>
      <c r="AD52" s="201"/>
      <c r="AE52" s="248"/>
      <c r="AF52" s="201"/>
      <c r="AG52" s="201"/>
      <c r="AH52" s="248"/>
      <c r="AI52" s="201"/>
      <c r="AJ52" s="298"/>
      <c r="AL52" s="322"/>
      <c r="AM52" s="295"/>
      <c r="AN52" s="295"/>
      <c r="AO52" s="295"/>
      <c r="AP52" s="295"/>
      <c r="AQ52" s="295"/>
      <c r="AR52" s="443" t="s">
        <v>312</v>
      </c>
      <c r="AS52" s="443"/>
      <c r="AT52" s="248"/>
      <c r="AU52" s="201"/>
      <c r="AV52" s="201"/>
      <c r="AW52" s="248"/>
      <c r="AX52" s="201"/>
      <c r="AY52" s="201"/>
      <c r="AZ52" s="248"/>
      <c r="BA52" s="201"/>
      <c r="BB52" s="298"/>
    </row>
    <row r="53" spans="2:54">
      <c r="B53" s="309"/>
      <c r="C53" s="301"/>
      <c r="D53" s="301"/>
      <c r="E53" s="301"/>
      <c r="F53" s="301"/>
      <c r="G53" s="301"/>
      <c r="H53" s="446" t="s">
        <v>31</v>
      </c>
      <c r="I53" s="446"/>
      <c r="J53" s="247">
        <f>J48</f>
        <v>2015</v>
      </c>
      <c r="K53" s="213">
        <f>L53/J53</f>
        <v>268.44069478908187</v>
      </c>
      <c r="L53" s="250">
        <f>SUM(L48:L52)</f>
        <v>540908</v>
      </c>
      <c r="M53" s="247">
        <f>M48</f>
        <v>0</v>
      </c>
      <c r="N53" s="213" t="e">
        <f>O53/M53</f>
        <v>#DIV/0!</v>
      </c>
      <c r="O53" s="250">
        <f>SUM(O48:O52)</f>
        <v>0</v>
      </c>
      <c r="P53" s="247">
        <f>P48</f>
        <v>0</v>
      </c>
      <c r="Q53" s="213" t="e">
        <f>R53/P53</f>
        <v>#DIV/0!</v>
      </c>
      <c r="R53" s="299">
        <f>SUM(R48:R52)</f>
        <v>0</v>
      </c>
      <c r="T53" s="322"/>
      <c r="U53" s="295"/>
      <c r="V53" s="295"/>
      <c r="W53" s="295"/>
      <c r="X53" s="295"/>
      <c r="Y53" s="295"/>
      <c r="Z53" s="446" t="s">
        <v>31</v>
      </c>
      <c r="AA53" s="446"/>
      <c r="AB53" s="247">
        <f>AB48</f>
        <v>0</v>
      </c>
      <c r="AC53" s="213" t="e">
        <f>AD53/AB53</f>
        <v>#DIV/0!</v>
      </c>
      <c r="AD53" s="250">
        <f>SUM(AD48:AD52)</f>
        <v>19</v>
      </c>
      <c r="AE53" s="247">
        <f>AE48</f>
        <v>0</v>
      </c>
      <c r="AF53" s="213" t="e">
        <f>AG53/AE53</f>
        <v>#DIV/0!</v>
      </c>
      <c r="AG53" s="250">
        <f>SUM(AG48:AG52)</f>
        <v>0</v>
      </c>
      <c r="AH53" s="247">
        <f>AH48</f>
        <v>0</v>
      </c>
      <c r="AI53" s="213" t="e">
        <f>AJ53/AH53</f>
        <v>#DIV/0!</v>
      </c>
      <c r="AJ53" s="299">
        <f>SUM(AJ48:AJ52)</f>
        <v>0</v>
      </c>
      <c r="AL53" s="322"/>
      <c r="AM53" s="295"/>
      <c r="AN53" s="295"/>
      <c r="AO53" s="295"/>
      <c r="AP53" s="295"/>
      <c r="AQ53" s="295"/>
      <c r="AR53" s="446" t="s">
        <v>31</v>
      </c>
      <c r="AS53" s="446"/>
      <c r="AT53" s="247">
        <f>AT48</f>
        <v>2015</v>
      </c>
      <c r="AU53" s="213">
        <f>AV53/AT53</f>
        <v>186.10372208436723</v>
      </c>
      <c r="AV53" s="250">
        <f>SUM(AV48:AV52)</f>
        <v>374999</v>
      </c>
      <c r="AW53" s="247">
        <f>AW48</f>
        <v>0</v>
      </c>
      <c r="AX53" s="213" t="e">
        <f>AY53/AW53</f>
        <v>#DIV/0!</v>
      </c>
      <c r="AY53" s="250">
        <f>SUM(AY48:AY52)</f>
        <v>0</v>
      </c>
      <c r="AZ53" s="247">
        <f>AZ48</f>
        <v>0</v>
      </c>
      <c r="BA53" s="213" t="e">
        <f>BB53/AZ53</f>
        <v>#DIV/0!</v>
      </c>
      <c r="BB53" s="299">
        <f>SUM(BB48:BB52)</f>
        <v>0</v>
      </c>
    </row>
    <row r="54" spans="2:54">
      <c r="B54" s="309"/>
      <c r="C54" s="301"/>
      <c r="D54" s="301"/>
      <c r="E54" s="301"/>
      <c r="F54" s="301"/>
      <c r="G54" s="301"/>
      <c r="H54" s="311"/>
      <c r="I54" s="311"/>
      <c r="J54" s="311"/>
      <c r="K54" s="311"/>
      <c r="L54" s="311"/>
      <c r="M54" s="311"/>
      <c r="N54" s="311"/>
      <c r="O54" s="311"/>
      <c r="P54" s="311"/>
      <c r="Q54" s="311"/>
      <c r="R54" s="313"/>
      <c r="T54" s="322"/>
      <c r="U54" s="295"/>
      <c r="V54" s="295"/>
      <c r="W54" s="295"/>
      <c r="X54" s="295"/>
      <c r="Y54" s="295"/>
      <c r="Z54" s="327"/>
      <c r="AA54" s="327"/>
      <c r="AB54" s="327"/>
      <c r="AC54" s="327"/>
      <c r="AD54" s="327"/>
      <c r="AE54" s="327"/>
      <c r="AF54" s="327"/>
      <c r="AG54" s="327"/>
      <c r="AH54" s="327"/>
      <c r="AI54" s="327"/>
      <c r="AJ54" s="328"/>
      <c r="AL54" s="322"/>
      <c r="AM54" s="295"/>
      <c r="AN54" s="295"/>
      <c r="AO54" s="295"/>
      <c r="AP54" s="295"/>
      <c r="AQ54" s="295"/>
      <c r="AR54" s="327"/>
      <c r="AS54" s="327"/>
      <c r="AT54" s="327"/>
      <c r="AU54" s="327"/>
      <c r="AV54" s="327"/>
      <c r="AW54" s="327"/>
      <c r="AX54" s="327"/>
      <c r="AY54" s="327"/>
      <c r="AZ54" s="327"/>
      <c r="BA54" s="327"/>
      <c r="BB54" s="328"/>
    </row>
    <row r="55" spans="2:54">
      <c r="B55" s="309"/>
      <c r="C55" s="301"/>
      <c r="D55" s="301"/>
      <c r="E55" s="301"/>
      <c r="F55" s="301"/>
      <c r="G55" s="301"/>
      <c r="H55" s="447" t="s">
        <v>351</v>
      </c>
      <c r="I55" s="447"/>
      <c r="J55" s="447"/>
      <c r="K55" s="447"/>
      <c r="L55" s="447"/>
      <c r="M55" s="447"/>
      <c r="N55" s="447"/>
      <c r="O55" s="447"/>
      <c r="P55" s="447"/>
      <c r="Q55" s="447"/>
      <c r="R55" s="532"/>
      <c r="T55" s="322"/>
      <c r="U55" s="295"/>
      <c r="V55" s="295"/>
      <c r="W55" s="295"/>
      <c r="X55" s="295"/>
      <c r="Y55" s="295"/>
      <c r="Z55" s="447" t="s">
        <v>351</v>
      </c>
      <c r="AA55" s="447"/>
      <c r="AB55" s="447"/>
      <c r="AC55" s="447"/>
      <c r="AD55" s="447"/>
      <c r="AE55" s="447"/>
      <c r="AF55" s="447"/>
      <c r="AG55" s="447"/>
      <c r="AH55" s="447"/>
      <c r="AI55" s="447"/>
      <c r="AJ55" s="532"/>
      <c r="AL55" s="322"/>
      <c r="AM55" s="295"/>
      <c r="AN55" s="295"/>
      <c r="AO55" s="295"/>
      <c r="AP55" s="295"/>
      <c r="AQ55" s="295"/>
      <c r="AR55" s="447" t="s">
        <v>351</v>
      </c>
      <c r="AS55" s="447"/>
      <c r="AT55" s="447"/>
      <c r="AU55" s="447"/>
      <c r="AV55" s="447"/>
      <c r="AW55" s="447"/>
      <c r="AX55" s="447"/>
      <c r="AY55" s="447"/>
      <c r="AZ55" s="447"/>
      <c r="BA55" s="447"/>
      <c r="BB55" s="532"/>
    </row>
    <row r="56" spans="2:54">
      <c r="B56" s="309"/>
      <c r="C56" s="301"/>
      <c r="D56" s="301"/>
      <c r="E56" s="301"/>
      <c r="F56" s="301"/>
      <c r="G56" s="301"/>
      <c r="H56" s="448"/>
      <c r="I56" s="449"/>
      <c r="J56" s="452" t="str">
        <f>J46</f>
        <v>Scooter G1</v>
      </c>
      <c r="K56" s="453"/>
      <c r="L56" s="454"/>
      <c r="M56" s="452" t="str">
        <f t="shared" ref="M56" si="90">M46</f>
        <v>Scooter G2</v>
      </c>
      <c r="N56" s="453"/>
      <c r="O56" s="454"/>
      <c r="P56" s="452" t="str">
        <f t="shared" ref="P56" si="91">P46</f>
        <v>Scooter G3</v>
      </c>
      <c r="Q56" s="453"/>
      <c r="R56" s="544"/>
      <c r="T56" s="322"/>
      <c r="U56" s="295"/>
      <c r="V56" s="295"/>
      <c r="W56" s="295"/>
      <c r="X56" s="295"/>
      <c r="Y56" s="295"/>
      <c r="Z56" s="448"/>
      <c r="AA56" s="449"/>
      <c r="AB56" s="518" t="str">
        <f>AB46</f>
        <v>Scooter G1</v>
      </c>
      <c r="AC56" s="519"/>
      <c r="AD56" s="529"/>
      <c r="AE56" s="518" t="str">
        <f t="shared" ref="AE56" si="92">AE46</f>
        <v>Scooter G2</v>
      </c>
      <c r="AF56" s="519"/>
      <c r="AG56" s="529"/>
      <c r="AH56" s="518" t="str">
        <f t="shared" ref="AH56" si="93">AH46</f>
        <v>Scooter G3</v>
      </c>
      <c r="AI56" s="519"/>
      <c r="AJ56" s="520"/>
      <c r="AL56" s="322"/>
      <c r="AM56" s="295"/>
      <c r="AN56" s="295"/>
      <c r="AO56" s="295"/>
      <c r="AP56" s="295"/>
      <c r="AQ56" s="295"/>
      <c r="AR56" s="448"/>
      <c r="AS56" s="449"/>
      <c r="AT56" s="518" t="str">
        <f>AT46</f>
        <v>Scooter G1</v>
      </c>
      <c r="AU56" s="519"/>
      <c r="AV56" s="529"/>
      <c r="AW56" s="518" t="str">
        <f t="shared" ref="AW56" si="94">AW46</f>
        <v>Scooter G2</v>
      </c>
      <c r="AX56" s="519"/>
      <c r="AY56" s="529"/>
      <c r="AZ56" s="518" t="str">
        <f t="shared" ref="AZ56" si="95">AZ46</f>
        <v>Scooter G3</v>
      </c>
      <c r="BA56" s="519"/>
      <c r="BB56" s="520"/>
    </row>
    <row r="57" spans="2:54">
      <c r="B57" s="309"/>
      <c r="C57" s="301"/>
      <c r="D57" s="301"/>
      <c r="E57" s="301"/>
      <c r="F57" s="301"/>
      <c r="G57" s="301"/>
      <c r="H57" s="450"/>
      <c r="I57" s="451"/>
      <c r="J57" s="255" t="s">
        <v>336</v>
      </c>
      <c r="K57" s="255" t="s">
        <v>337</v>
      </c>
      <c r="L57" s="255" t="s">
        <v>338</v>
      </c>
      <c r="M57" s="255" t="s">
        <v>336</v>
      </c>
      <c r="N57" s="255" t="s">
        <v>337</v>
      </c>
      <c r="O57" s="255" t="s">
        <v>338</v>
      </c>
      <c r="P57" s="255" t="s">
        <v>336</v>
      </c>
      <c r="Q57" s="255" t="s">
        <v>337</v>
      </c>
      <c r="R57" s="314" t="s">
        <v>338</v>
      </c>
      <c r="T57" s="322"/>
      <c r="U57" s="295"/>
      <c r="V57" s="295"/>
      <c r="W57" s="295"/>
      <c r="X57" s="295"/>
      <c r="Y57" s="295"/>
      <c r="Z57" s="450"/>
      <c r="AA57" s="451"/>
      <c r="AB57" s="255" t="s">
        <v>336</v>
      </c>
      <c r="AC57" s="255" t="s">
        <v>337</v>
      </c>
      <c r="AD57" s="255" t="s">
        <v>338</v>
      </c>
      <c r="AE57" s="255" t="s">
        <v>336</v>
      </c>
      <c r="AF57" s="255" t="s">
        <v>337</v>
      </c>
      <c r="AG57" s="255" t="s">
        <v>338</v>
      </c>
      <c r="AH57" s="255" t="s">
        <v>336</v>
      </c>
      <c r="AI57" s="255" t="s">
        <v>337</v>
      </c>
      <c r="AJ57" s="314" t="s">
        <v>338</v>
      </c>
      <c r="AL57" s="322"/>
      <c r="AM57" s="295"/>
      <c r="AN57" s="295"/>
      <c r="AO57" s="295"/>
      <c r="AP57" s="295"/>
      <c r="AQ57" s="295"/>
      <c r="AR57" s="450"/>
      <c r="AS57" s="451"/>
      <c r="AT57" s="255" t="s">
        <v>336</v>
      </c>
      <c r="AU57" s="255" t="s">
        <v>337</v>
      </c>
      <c r="AV57" s="255" t="s">
        <v>338</v>
      </c>
      <c r="AW57" s="255" t="s">
        <v>336</v>
      </c>
      <c r="AX57" s="255" t="s">
        <v>337</v>
      </c>
      <c r="AY57" s="255" t="s">
        <v>338</v>
      </c>
      <c r="AZ57" s="255" t="s">
        <v>336</v>
      </c>
      <c r="BA57" s="255" t="s">
        <v>337</v>
      </c>
      <c r="BB57" s="314" t="s">
        <v>338</v>
      </c>
    </row>
    <row r="58" spans="2:54">
      <c r="B58" s="309"/>
      <c r="C58" s="301"/>
      <c r="D58" s="301"/>
      <c r="E58" s="301"/>
      <c r="F58" s="301"/>
      <c r="G58" s="301"/>
      <c r="H58" s="455" t="s">
        <v>352</v>
      </c>
      <c r="I58" s="456"/>
      <c r="J58" s="247">
        <f>J53</f>
        <v>2015</v>
      </c>
      <c r="K58" s="213">
        <f t="shared" ref="K58:R58" si="96">K53</f>
        <v>268.44069478908187</v>
      </c>
      <c r="L58" s="213">
        <f t="shared" si="96"/>
        <v>540908</v>
      </c>
      <c r="M58" s="247">
        <f>M53</f>
        <v>0</v>
      </c>
      <c r="N58" s="213" t="e">
        <f t="shared" si="96"/>
        <v>#DIV/0!</v>
      </c>
      <c r="O58" s="213">
        <f t="shared" si="96"/>
        <v>0</v>
      </c>
      <c r="P58" s="247">
        <f>P53</f>
        <v>0</v>
      </c>
      <c r="Q58" s="213" t="e">
        <f t="shared" si="96"/>
        <v>#DIV/0!</v>
      </c>
      <c r="R58" s="307">
        <f t="shared" si="96"/>
        <v>0</v>
      </c>
      <c r="T58" s="322"/>
      <c r="U58" s="295"/>
      <c r="V58" s="295"/>
      <c r="W58" s="295"/>
      <c r="X58" s="295"/>
      <c r="Y58" s="295"/>
      <c r="Z58" s="455" t="s">
        <v>352</v>
      </c>
      <c r="AA58" s="456"/>
      <c r="AB58" s="247">
        <f>AB53</f>
        <v>0</v>
      </c>
      <c r="AC58" s="213" t="e">
        <f t="shared" ref="AC58:AJ58" si="97">AC53</f>
        <v>#DIV/0!</v>
      </c>
      <c r="AD58" s="213">
        <f t="shared" si="97"/>
        <v>19</v>
      </c>
      <c r="AE58" s="247">
        <f t="shared" si="97"/>
        <v>0</v>
      </c>
      <c r="AF58" s="213" t="e">
        <f t="shared" si="97"/>
        <v>#DIV/0!</v>
      </c>
      <c r="AG58" s="213">
        <f t="shared" si="97"/>
        <v>0</v>
      </c>
      <c r="AH58" s="247">
        <f t="shared" si="97"/>
        <v>0</v>
      </c>
      <c r="AI58" s="213" t="e">
        <f t="shared" si="97"/>
        <v>#DIV/0!</v>
      </c>
      <c r="AJ58" s="307">
        <f t="shared" si="97"/>
        <v>0</v>
      </c>
      <c r="AL58" s="322"/>
      <c r="AM58" s="295"/>
      <c r="AN58" s="295"/>
      <c r="AO58" s="295"/>
      <c r="AP58" s="295"/>
      <c r="AQ58" s="295"/>
      <c r="AR58" s="455" t="s">
        <v>352</v>
      </c>
      <c r="AS58" s="456"/>
      <c r="AT58" s="247">
        <f>AT53</f>
        <v>2015</v>
      </c>
      <c r="AU58" s="213">
        <f t="shared" ref="AU58:BB58" si="98">AU53</f>
        <v>186.10372208436723</v>
      </c>
      <c r="AV58" s="213">
        <f t="shared" si="98"/>
        <v>374999</v>
      </c>
      <c r="AW58" s="247">
        <f t="shared" si="98"/>
        <v>0</v>
      </c>
      <c r="AX58" s="213" t="e">
        <f t="shared" si="98"/>
        <v>#DIV/0!</v>
      </c>
      <c r="AY58" s="213">
        <f t="shared" si="98"/>
        <v>0</v>
      </c>
      <c r="AZ58" s="247">
        <f t="shared" si="98"/>
        <v>0</v>
      </c>
      <c r="BA58" s="213" t="e">
        <f t="shared" si="98"/>
        <v>#DIV/0!</v>
      </c>
      <c r="BB58" s="307">
        <f t="shared" si="98"/>
        <v>0</v>
      </c>
    </row>
    <row r="59" spans="2:54">
      <c r="B59" s="309"/>
      <c r="C59" s="301"/>
      <c r="D59" s="301"/>
      <c r="E59" s="301"/>
      <c r="F59" s="301"/>
      <c r="G59" s="301"/>
      <c r="H59" s="443" t="s">
        <v>311</v>
      </c>
      <c r="I59" s="443"/>
      <c r="J59" s="248"/>
      <c r="K59" s="201"/>
      <c r="L59" s="201"/>
      <c r="M59" s="248"/>
      <c r="N59" s="201"/>
      <c r="O59" s="201"/>
      <c r="P59" s="248"/>
      <c r="Q59" s="201"/>
      <c r="R59" s="298"/>
      <c r="T59" s="322"/>
      <c r="U59" s="295"/>
      <c r="V59" s="295"/>
      <c r="W59" s="295"/>
      <c r="X59" s="295"/>
      <c r="Y59" s="295"/>
      <c r="Z59" s="443" t="s">
        <v>311</v>
      </c>
      <c r="AA59" s="443"/>
      <c r="AB59" s="248"/>
      <c r="AC59" s="201"/>
      <c r="AD59" s="201"/>
      <c r="AE59" s="248"/>
      <c r="AF59" s="201"/>
      <c r="AG59" s="201"/>
      <c r="AH59" s="248"/>
      <c r="AI59" s="201"/>
      <c r="AJ59" s="298"/>
      <c r="AL59" s="322"/>
      <c r="AM59" s="295"/>
      <c r="AN59" s="295"/>
      <c r="AO59" s="295"/>
      <c r="AP59" s="295"/>
      <c r="AQ59" s="295"/>
      <c r="AR59" s="443" t="s">
        <v>311</v>
      </c>
      <c r="AS59" s="443"/>
      <c r="AT59" s="248"/>
      <c r="AU59" s="201"/>
      <c r="AV59" s="201"/>
      <c r="AW59" s="248"/>
      <c r="AX59" s="201"/>
      <c r="AY59" s="201"/>
      <c r="AZ59" s="248"/>
      <c r="BA59" s="201"/>
      <c r="BB59" s="298"/>
    </row>
    <row r="60" spans="2:54">
      <c r="B60" s="309"/>
      <c r="C60" s="301"/>
      <c r="D60" s="301"/>
      <c r="E60" s="301"/>
      <c r="F60" s="301"/>
      <c r="G60" s="301"/>
      <c r="H60" s="443" t="s">
        <v>312</v>
      </c>
      <c r="I60" s="443"/>
      <c r="J60" s="248"/>
      <c r="K60" s="201"/>
      <c r="L60" s="201"/>
      <c r="M60" s="248"/>
      <c r="N60" s="201"/>
      <c r="O60" s="201"/>
      <c r="P60" s="248"/>
      <c r="Q60" s="201"/>
      <c r="R60" s="298"/>
      <c r="T60" s="322"/>
      <c r="U60" s="295"/>
      <c r="V60" s="295"/>
      <c r="W60" s="295"/>
      <c r="X60" s="295"/>
      <c r="Y60" s="295"/>
      <c r="Z60" s="443" t="s">
        <v>312</v>
      </c>
      <c r="AA60" s="443"/>
      <c r="AB60" s="248"/>
      <c r="AC60" s="201"/>
      <c r="AD60" s="201"/>
      <c r="AE60" s="248"/>
      <c r="AF60" s="201"/>
      <c r="AG60" s="201"/>
      <c r="AH60" s="248"/>
      <c r="AI60" s="201"/>
      <c r="AJ60" s="298"/>
      <c r="AL60" s="322"/>
      <c r="AM60" s="295"/>
      <c r="AN60" s="295"/>
      <c r="AO60" s="295"/>
      <c r="AP60" s="295"/>
      <c r="AQ60" s="295"/>
      <c r="AR60" s="443" t="s">
        <v>312</v>
      </c>
      <c r="AS60" s="443"/>
      <c r="AT60" s="248"/>
      <c r="AU60" s="201"/>
      <c r="AV60" s="201"/>
      <c r="AW60" s="248"/>
      <c r="AX60" s="201"/>
      <c r="AY60" s="201"/>
      <c r="AZ60" s="248"/>
      <c r="BA60" s="201"/>
      <c r="BB60" s="298"/>
    </row>
    <row r="61" spans="2:54">
      <c r="B61" s="309"/>
      <c r="C61" s="301"/>
      <c r="D61" s="301"/>
      <c r="E61" s="301"/>
      <c r="F61" s="301"/>
      <c r="G61" s="301"/>
      <c r="H61" s="444" t="str">
        <f>F4</f>
        <v>Administration</v>
      </c>
      <c r="I61" s="445"/>
      <c r="J61" s="247">
        <f>L48</f>
        <v>440908</v>
      </c>
      <c r="K61" s="213">
        <f>$F$18</f>
        <v>7.0143884892086325E-2</v>
      </c>
      <c r="L61" s="213">
        <f>J61*K61</f>
        <v>30926.999999999996</v>
      </c>
      <c r="M61" s="247">
        <f>O48</f>
        <v>0</v>
      </c>
      <c r="N61" s="213">
        <f>$F$18</f>
        <v>7.0143884892086325E-2</v>
      </c>
      <c r="O61" s="213">
        <f>M61*N61</f>
        <v>0</v>
      </c>
      <c r="P61" s="247">
        <f>R48</f>
        <v>0</v>
      </c>
      <c r="Q61" s="213">
        <f>$F$18</f>
        <v>7.0143884892086325E-2</v>
      </c>
      <c r="R61" s="307">
        <f>P61*Q61</f>
        <v>0</v>
      </c>
      <c r="T61" s="322"/>
      <c r="U61" s="295"/>
      <c r="V61" s="295"/>
      <c r="W61" s="295"/>
      <c r="X61" s="295"/>
      <c r="Y61" s="295"/>
      <c r="Z61" s="444" t="str">
        <f>X4</f>
        <v>Administration</v>
      </c>
      <c r="AA61" s="445"/>
      <c r="AB61" s="247">
        <f>AD48</f>
        <v>19</v>
      </c>
      <c r="AC61" s="213">
        <f>$F$18</f>
        <v>7.0143884892086325E-2</v>
      </c>
      <c r="AD61" s="213">
        <f>AB61*AC61</f>
        <v>1.3327338129496402</v>
      </c>
      <c r="AE61" s="247">
        <f>AG48</f>
        <v>0</v>
      </c>
      <c r="AF61" s="213">
        <f>$F$18</f>
        <v>7.0143884892086325E-2</v>
      </c>
      <c r="AG61" s="213">
        <f>AE61*AF61</f>
        <v>0</v>
      </c>
      <c r="AH61" s="247">
        <f>AJ48</f>
        <v>0</v>
      </c>
      <c r="AI61" s="213">
        <f>$F$18</f>
        <v>7.0143884892086325E-2</v>
      </c>
      <c r="AJ61" s="307">
        <f>AH61*AI61</f>
        <v>0</v>
      </c>
      <c r="AL61" s="322"/>
      <c r="AM61" s="295"/>
      <c r="AN61" s="295"/>
      <c r="AO61" s="295"/>
      <c r="AP61" s="295"/>
      <c r="AQ61" s="295"/>
      <c r="AR61" s="444" t="str">
        <f>AP4</f>
        <v>Administration</v>
      </c>
      <c r="AS61" s="445"/>
      <c r="AT61" s="247">
        <f>AV48</f>
        <v>374999</v>
      </c>
      <c r="AU61" s="213">
        <f>$F$18</f>
        <v>7.0143884892086325E-2</v>
      </c>
      <c r="AV61" s="213">
        <f>AT61*AU61</f>
        <v>26303.88669064748</v>
      </c>
      <c r="AW61" s="247">
        <f>AY48</f>
        <v>0</v>
      </c>
      <c r="AX61" s="213">
        <f>$F$18</f>
        <v>7.0143884892086325E-2</v>
      </c>
      <c r="AY61" s="213">
        <f>AW61*AX61</f>
        <v>0</v>
      </c>
      <c r="AZ61" s="247">
        <f>BB48</f>
        <v>0</v>
      </c>
      <c r="BA61" s="213">
        <f>$F$18</f>
        <v>7.0143884892086325E-2</v>
      </c>
      <c r="BB61" s="307">
        <f>AZ61*BA61</f>
        <v>0</v>
      </c>
    </row>
    <row r="62" spans="2:54" ht="13.5" thickBot="1">
      <c r="B62" s="315"/>
      <c r="C62" s="316"/>
      <c r="D62" s="316"/>
      <c r="E62" s="316"/>
      <c r="F62" s="316"/>
      <c r="G62" s="316"/>
      <c r="H62" s="525" t="s">
        <v>31</v>
      </c>
      <c r="I62" s="525"/>
      <c r="J62" s="317">
        <f>J58</f>
        <v>2015</v>
      </c>
      <c r="K62" s="318">
        <f>L62/J62</f>
        <v>283.78908188585609</v>
      </c>
      <c r="L62" s="319">
        <f>SUM(L58:L61)</f>
        <v>571835</v>
      </c>
      <c r="M62" s="317">
        <f>M58</f>
        <v>0</v>
      </c>
      <c r="N62" s="318" t="e">
        <f>O62/M62</f>
        <v>#DIV/0!</v>
      </c>
      <c r="O62" s="319">
        <f>SUM(O58:O61)</f>
        <v>0</v>
      </c>
      <c r="P62" s="317">
        <f>P58</f>
        <v>0</v>
      </c>
      <c r="Q62" s="318" t="e">
        <f>R62/P62</f>
        <v>#DIV/0!</v>
      </c>
      <c r="R62" s="320">
        <f>SUM(R58:R61)</f>
        <v>0</v>
      </c>
      <c r="T62" s="329"/>
      <c r="U62" s="330"/>
      <c r="V62" s="330"/>
      <c r="W62" s="330"/>
      <c r="X62" s="330"/>
      <c r="Y62" s="330"/>
      <c r="Z62" s="525" t="s">
        <v>31</v>
      </c>
      <c r="AA62" s="525"/>
      <c r="AB62" s="317">
        <f>AB58</f>
        <v>0</v>
      </c>
      <c r="AC62" s="318" t="e">
        <f>AD62/AB62</f>
        <v>#DIV/0!</v>
      </c>
      <c r="AD62" s="319">
        <f>SUM(AD58:AD61)</f>
        <v>20.332733812949641</v>
      </c>
      <c r="AE62" s="317">
        <f>AE58</f>
        <v>0</v>
      </c>
      <c r="AF62" s="318" t="e">
        <f>AG62/AE62</f>
        <v>#DIV/0!</v>
      </c>
      <c r="AG62" s="319">
        <f>SUM(AG58:AG60)</f>
        <v>0</v>
      </c>
      <c r="AH62" s="317">
        <f>AH58</f>
        <v>0</v>
      </c>
      <c r="AI62" s="318" t="e">
        <f>AJ62/AH62</f>
        <v>#DIV/0!</v>
      </c>
      <c r="AJ62" s="320">
        <f>SUM(AJ58:AJ60)</f>
        <v>0</v>
      </c>
      <c r="AL62" s="329"/>
      <c r="AM62" s="330"/>
      <c r="AN62" s="330"/>
      <c r="AO62" s="330"/>
      <c r="AP62" s="330"/>
      <c r="AQ62" s="330"/>
      <c r="AR62" s="525" t="s">
        <v>31</v>
      </c>
      <c r="AS62" s="525"/>
      <c r="AT62" s="317">
        <f>AT58</f>
        <v>2015</v>
      </c>
      <c r="AU62" s="318">
        <f>AV62/AT62</f>
        <v>199.15776014424191</v>
      </c>
      <c r="AV62" s="319">
        <f>SUM(AV58:AV61)</f>
        <v>401302.88669064746</v>
      </c>
      <c r="AW62" s="317">
        <f>AW58</f>
        <v>0</v>
      </c>
      <c r="AX62" s="318" t="e">
        <f>AY62/AW62</f>
        <v>#DIV/0!</v>
      </c>
      <c r="AY62" s="319">
        <f>SUM(AY58:AY60)</f>
        <v>0</v>
      </c>
      <c r="AZ62" s="317">
        <f>AZ58</f>
        <v>0</v>
      </c>
      <c r="BA62" s="318" t="e">
        <f>BB62/AZ62</f>
        <v>#DIV/0!</v>
      </c>
      <c r="BB62" s="320">
        <f>SUM(BB58:BB60)</f>
        <v>0</v>
      </c>
    </row>
    <row r="63" spans="2:54" ht="13.5" thickTop="1"/>
  </sheetData>
  <mergeCells count="226">
    <mergeCell ref="AR58:AS58"/>
    <mergeCell ref="AR59:AS59"/>
    <mergeCell ref="AR60:AS60"/>
    <mergeCell ref="AR61:AS61"/>
    <mergeCell ref="AR62:AS62"/>
    <mergeCell ref="AR50:AS50"/>
    <mergeCell ref="AR51:AS51"/>
    <mergeCell ref="AR52:AS52"/>
    <mergeCell ref="AR53:AS53"/>
    <mergeCell ref="AR55:BB55"/>
    <mergeCell ref="AR56:AS57"/>
    <mergeCell ref="AT56:AV56"/>
    <mergeCell ref="AW56:AY56"/>
    <mergeCell ref="AZ56:BB56"/>
    <mergeCell ref="AR46:AS47"/>
    <mergeCell ref="AT46:AV46"/>
    <mergeCell ref="AW46:AY46"/>
    <mergeCell ref="AZ46:BB46"/>
    <mergeCell ref="AR48:AS48"/>
    <mergeCell ref="AR49:AS49"/>
    <mergeCell ref="AM24:AO24"/>
    <mergeCell ref="AQ24:AQ43"/>
    <mergeCell ref="AR24:AY24"/>
    <mergeCell ref="AR31:AY31"/>
    <mergeCell ref="AR38:AY38"/>
    <mergeCell ref="AR45:BB45"/>
    <mergeCell ref="AR17:AS17"/>
    <mergeCell ref="AR18:AS18"/>
    <mergeCell ref="AR19:AS19"/>
    <mergeCell ref="AR20:AS20"/>
    <mergeCell ref="AR21:AS21"/>
    <mergeCell ref="AR22:AS22"/>
    <mergeCell ref="AR13:BB13"/>
    <mergeCell ref="AR14:AS15"/>
    <mergeCell ref="AT14:AV14"/>
    <mergeCell ref="AW14:AY14"/>
    <mergeCell ref="AZ14:BB14"/>
    <mergeCell ref="AR16:AS16"/>
    <mergeCell ref="AR6:AS6"/>
    <mergeCell ref="AR7:AS7"/>
    <mergeCell ref="AR8:AS8"/>
    <mergeCell ref="AR9:AS9"/>
    <mergeCell ref="AR10:AS10"/>
    <mergeCell ref="AR11:AS11"/>
    <mergeCell ref="C24:E24"/>
    <mergeCell ref="AL2:BB2"/>
    <mergeCell ref="AL3:AP3"/>
    <mergeCell ref="AR3:BB3"/>
    <mergeCell ref="AL4:AM4"/>
    <mergeCell ref="AR4:AS5"/>
    <mergeCell ref="AT4:AV4"/>
    <mergeCell ref="AW4:AY4"/>
    <mergeCell ref="AZ4:BB4"/>
    <mergeCell ref="AL6:AL7"/>
    <mergeCell ref="Z8:AA8"/>
    <mergeCell ref="Z9:AA9"/>
    <mergeCell ref="Z10:AA10"/>
    <mergeCell ref="Z11:AA11"/>
    <mergeCell ref="Z13:AJ13"/>
    <mergeCell ref="Z14:AA15"/>
    <mergeCell ref="AB14:AD14"/>
    <mergeCell ref="AE14:AG14"/>
    <mergeCell ref="Z59:AA59"/>
    <mergeCell ref="Z60:AA60"/>
    <mergeCell ref="Z61:AA61"/>
    <mergeCell ref="Z62:AA62"/>
    <mergeCell ref="U24:W24"/>
    <mergeCell ref="Z18:AA18"/>
    <mergeCell ref="Z55:AJ55"/>
    <mergeCell ref="Z56:AA57"/>
    <mergeCell ref="AB56:AD56"/>
    <mergeCell ref="AE56:AG56"/>
    <mergeCell ref="AH56:AJ56"/>
    <mergeCell ref="Z58:AA58"/>
    <mergeCell ref="Z48:AA48"/>
    <mergeCell ref="Z49:AA49"/>
    <mergeCell ref="Z50:AA50"/>
    <mergeCell ref="Z51:AA51"/>
    <mergeCell ref="Z52:AA52"/>
    <mergeCell ref="Z53:AA53"/>
    <mergeCell ref="Y24:Y43"/>
    <mergeCell ref="Z24:AG24"/>
    <mergeCell ref="Z31:AG31"/>
    <mergeCell ref="Z38:AG38"/>
    <mergeCell ref="Z45:AJ45"/>
    <mergeCell ref="Z46:AA47"/>
    <mergeCell ref="AB46:AD46"/>
    <mergeCell ref="AE46:AG46"/>
    <mergeCell ref="AH46:AJ46"/>
    <mergeCell ref="Z16:AA16"/>
    <mergeCell ref="Z17:AA17"/>
    <mergeCell ref="Z19:AA19"/>
    <mergeCell ref="Z20:AA20"/>
    <mergeCell ref="Z21:AA21"/>
    <mergeCell ref="Z22:AA22"/>
    <mergeCell ref="AH14:AJ14"/>
    <mergeCell ref="AB4:AD4"/>
    <mergeCell ref="AE4:AG4"/>
    <mergeCell ref="AH4:AJ4"/>
    <mergeCell ref="T6:T7"/>
    <mergeCell ref="Z6:AA6"/>
    <mergeCell ref="Z7:AA7"/>
    <mergeCell ref="H59:I59"/>
    <mergeCell ref="H60:I60"/>
    <mergeCell ref="H45:R45"/>
    <mergeCell ref="H46:I47"/>
    <mergeCell ref="J46:L46"/>
    <mergeCell ref="M46:O46"/>
    <mergeCell ref="P46:R46"/>
    <mergeCell ref="H16:I16"/>
    <mergeCell ref="H17:I17"/>
    <mergeCell ref="H19:I19"/>
    <mergeCell ref="H20:I20"/>
    <mergeCell ref="H21:I21"/>
    <mergeCell ref="H22:I22"/>
    <mergeCell ref="H11:I11"/>
    <mergeCell ref="H13:R13"/>
    <mergeCell ref="H14:I15"/>
    <mergeCell ref="J14:L14"/>
    <mergeCell ref="H61:I61"/>
    <mergeCell ref="H62:I62"/>
    <mergeCell ref="B2:R2"/>
    <mergeCell ref="T2:AJ2"/>
    <mergeCell ref="T3:X3"/>
    <mergeCell ref="Z3:AJ3"/>
    <mergeCell ref="T4:U4"/>
    <mergeCell ref="Z4:AA5"/>
    <mergeCell ref="H55:R55"/>
    <mergeCell ref="H56:I57"/>
    <mergeCell ref="J56:L56"/>
    <mergeCell ref="M56:O56"/>
    <mergeCell ref="P56:R56"/>
    <mergeCell ref="H58:I58"/>
    <mergeCell ref="H48:I48"/>
    <mergeCell ref="H49:I49"/>
    <mergeCell ref="H50:I50"/>
    <mergeCell ref="H51:I51"/>
    <mergeCell ref="H52:I52"/>
    <mergeCell ref="H53:I53"/>
    <mergeCell ref="G24:G43"/>
    <mergeCell ref="H24:O24"/>
    <mergeCell ref="H31:O31"/>
    <mergeCell ref="H38:O38"/>
    <mergeCell ref="M14:O14"/>
    <mergeCell ref="P14:R14"/>
    <mergeCell ref="B6:B7"/>
    <mergeCell ref="H6:I6"/>
    <mergeCell ref="H7:I7"/>
    <mergeCell ref="H8:I8"/>
    <mergeCell ref="H9:I9"/>
    <mergeCell ref="H10:I10"/>
    <mergeCell ref="B3:F3"/>
    <mergeCell ref="H3:R3"/>
    <mergeCell ref="B4:C4"/>
    <mergeCell ref="H4:I5"/>
    <mergeCell ref="J4:L4"/>
    <mergeCell ref="M4:O4"/>
    <mergeCell ref="P4:R4"/>
    <mergeCell ref="BD14:BE14"/>
    <mergeCell ref="BD15:BE15"/>
    <mergeCell ref="BD16:BE16"/>
    <mergeCell ref="BD17:BE17"/>
    <mergeCell ref="BD18:BE18"/>
    <mergeCell ref="BD2:BN2"/>
    <mergeCell ref="BD20:BN20"/>
    <mergeCell ref="BD3:BD4"/>
    <mergeCell ref="BF3:BN3"/>
    <mergeCell ref="BF4:BN4"/>
    <mergeCell ref="BD13:BE13"/>
    <mergeCell ref="BD21:BE22"/>
    <mergeCell ref="BF21:BH21"/>
    <mergeCell ref="BI21:BK21"/>
    <mergeCell ref="BL21:BN21"/>
    <mergeCell ref="BD23:BE23"/>
    <mergeCell ref="BD24:BE24"/>
    <mergeCell ref="BD25:BE25"/>
    <mergeCell ref="BD26:BE26"/>
    <mergeCell ref="BD27:BE27"/>
    <mergeCell ref="BD44:BE44"/>
    <mergeCell ref="BD45:BE45"/>
    <mergeCell ref="BD46:BE46"/>
    <mergeCell ref="BD47:BE47"/>
    <mergeCell ref="BD48:BE48"/>
    <mergeCell ref="BD10:BN10"/>
    <mergeCell ref="BF11:BH11"/>
    <mergeCell ref="BI11:BK11"/>
    <mergeCell ref="BL11:BN11"/>
    <mergeCell ref="BD36:BE36"/>
    <mergeCell ref="BD37:BE37"/>
    <mergeCell ref="BD38:BE38"/>
    <mergeCell ref="BD39:BE39"/>
    <mergeCell ref="BD41:BN41"/>
    <mergeCell ref="BD42:BE43"/>
    <mergeCell ref="BF42:BH42"/>
    <mergeCell ref="BI42:BK42"/>
    <mergeCell ref="BL42:BN42"/>
    <mergeCell ref="BD28:BE28"/>
    <mergeCell ref="BD29:BE29"/>
    <mergeCell ref="BD31:BN31"/>
    <mergeCell ref="BD32:BE33"/>
    <mergeCell ref="BF32:BH32"/>
    <mergeCell ref="BI32:BK32"/>
    <mergeCell ref="U31:W31"/>
    <mergeCell ref="U38:W38"/>
    <mergeCell ref="BP3:BP4"/>
    <mergeCell ref="BP5:BP8"/>
    <mergeCell ref="BQ5:BQ6"/>
    <mergeCell ref="BQ7:BQ8"/>
    <mergeCell ref="BP10:BZ12"/>
    <mergeCell ref="BP2:BZ2"/>
    <mergeCell ref="BS5:BZ5"/>
    <mergeCell ref="BR3:BZ3"/>
    <mergeCell ref="BR4:BZ4"/>
    <mergeCell ref="BS6:BZ6"/>
    <mergeCell ref="BS7:BZ7"/>
    <mergeCell ref="BS8:BZ8"/>
    <mergeCell ref="BE7:BE8"/>
    <mergeCell ref="BE5:BE6"/>
    <mergeCell ref="BD5:BD8"/>
    <mergeCell ref="BG5:BN5"/>
    <mergeCell ref="BG6:BN6"/>
    <mergeCell ref="BG7:BN7"/>
    <mergeCell ref="BG8:BN8"/>
    <mergeCell ref="BL32:BN32"/>
    <mergeCell ref="BD34:BE34"/>
    <mergeCell ref="BD35:BE3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theme="9"/>
  </sheetPr>
  <dimension ref="B2:H28"/>
  <sheetViews>
    <sheetView workbookViewId="0">
      <selection activeCell="L18" sqref="L18"/>
    </sheetView>
  </sheetViews>
  <sheetFormatPr baseColWidth="10" defaultRowHeight="12.75"/>
  <cols>
    <col min="1" max="1" width="11.42578125" customWidth="1"/>
    <col min="2" max="2" width="29.5703125" style="101" customWidth="1"/>
    <col min="3" max="3" width="12.85546875" style="101" bestFit="1" customWidth="1"/>
    <col min="4" max="4" width="27" style="101" customWidth="1"/>
    <col min="5" max="5" width="12.85546875" style="101" bestFit="1" customWidth="1"/>
    <col min="6" max="6" width="29.7109375" style="101" customWidth="1"/>
    <col min="7" max="7" width="12.85546875" style="101" bestFit="1" customWidth="1"/>
    <col min="8" max="8" width="22.7109375" style="102" customWidth="1"/>
  </cols>
  <sheetData>
    <row r="2" spans="2:8" ht="12.75" customHeight="1">
      <c r="B2" s="574" t="str">
        <f>CONCATENATE("Tableau des Soldes Intermédiaires de gestion (SIG) de l'année ",Donnees_de_jeu!$E$6)</f>
        <v>Tableau des Soldes Intermédiaires de gestion (SIG) de l'année 2023</v>
      </c>
      <c r="C2" s="574"/>
      <c r="D2" s="574"/>
      <c r="E2" s="574"/>
      <c r="F2" s="574"/>
      <c r="G2" s="574"/>
      <c r="H2" s="264" t="str">
        <f>CONCATENATE("Rappel de l'année ",Donnees_de_jeu!E6-1)</f>
        <v>Rappel de l'année 2022</v>
      </c>
    </row>
    <row r="3" spans="2:8" ht="25.5">
      <c r="B3" s="103" t="s">
        <v>115</v>
      </c>
      <c r="C3" s="29">
        <v>0</v>
      </c>
      <c r="D3" s="103" t="s">
        <v>116</v>
      </c>
      <c r="E3" s="106">
        <v>0</v>
      </c>
      <c r="F3" s="104" t="s">
        <v>117</v>
      </c>
      <c r="G3" s="103">
        <f>C3-E3</f>
        <v>0</v>
      </c>
      <c r="H3" s="56"/>
    </row>
    <row r="4" spans="2:8" ht="25.5" customHeight="1">
      <c r="B4" s="103" t="s">
        <v>118</v>
      </c>
      <c r="C4" s="29">
        <f>Données_comptables!H26</f>
        <v>705250</v>
      </c>
      <c r="D4" s="567" t="s">
        <v>119</v>
      </c>
      <c r="E4" s="575">
        <f>IF(Données_comptables!H29&lt;0,-Données_comptables!H29,0)</f>
        <v>0</v>
      </c>
      <c r="F4" s="568" t="s">
        <v>120</v>
      </c>
      <c r="G4" s="567">
        <f>C7-E7</f>
        <v>741730</v>
      </c>
      <c r="H4" s="557"/>
    </row>
    <row r="5" spans="2:8">
      <c r="B5" s="103" t="s">
        <v>39</v>
      </c>
      <c r="C5" s="29">
        <f>IF(Données_comptables!H29&gt;0,Données_comptables!H29,0)</f>
        <v>36480</v>
      </c>
      <c r="D5" s="567"/>
      <c r="E5" s="576"/>
      <c r="F5" s="568"/>
      <c r="G5" s="567"/>
      <c r="H5" s="558"/>
    </row>
    <row r="6" spans="2:8">
      <c r="B6" s="103" t="s">
        <v>121</v>
      </c>
      <c r="C6" s="29">
        <v>0</v>
      </c>
      <c r="D6" s="567"/>
      <c r="E6" s="577"/>
      <c r="F6" s="568"/>
      <c r="G6" s="567"/>
      <c r="H6" s="558"/>
    </row>
    <row r="7" spans="2:8" ht="12.75" customHeight="1">
      <c r="B7" s="105" t="s">
        <v>31</v>
      </c>
      <c r="C7" s="103">
        <f>SUM(C4:C6)</f>
        <v>741730</v>
      </c>
      <c r="D7" s="105" t="s">
        <v>31</v>
      </c>
      <c r="E7" s="104">
        <f>E4</f>
        <v>0</v>
      </c>
      <c r="F7" s="568"/>
      <c r="G7" s="567"/>
      <c r="H7" s="559"/>
    </row>
    <row r="8" spans="2:8" ht="39" customHeight="1">
      <c r="B8" s="103" t="s">
        <v>120</v>
      </c>
      <c r="C8" s="103">
        <f>G4</f>
        <v>741730</v>
      </c>
      <c r="D8" s="567" t="s">
        <v>202</v>
      </c>
      <c r="E8" s="569">
        <f>SUM(Données_comptables!D26,Données_comptables!D29,Données_comptables!D32,Données_comptables!D35,Données_comptables!D38,Données_comptables!D41)</f>
        <v>258688</v>
      </c>
      <c r="F8" s="568" t="s">
        <v>122</v>
      </c>
      <c r="G8" s="567">
        <f>C10-E10</f>
        <v>483042</v>
      </c>
      <c r="H8" s="560"/>
    </row>
    <row r="9" spans="2:8">
      <c r="B9" s="103" t="s">
        <v>117</v>
      </c>
      <c r="C9" s="103">
        <f>G3</f>
        <v>0</v>
      </c>
      <c r="D9" s="567"/>
      <c r="E9" s="570"/>
      <c r="F9" s="568"/>
      <c r="G9" s="567"/>
      <c r="H9" s="561"/>
    </row>
    <row r="10" spans="2:8" ht="12.75" customHeight="1">
      <c r="B10" s="105" t="s">
        <v>31</v>
      </c>
      <c r="C10" s="103">
        <f>SUM(C8:C9)</f>
        <v>741730</v>
      </c>
      <c r="D10" s="105" t="s">
        <v>31</v>
      </c>
      <c r="E10" s="103">
        <f>E8</f>
        <v>258688</v>
      </c>
      <c r="F10" s="568"/>
      <c r="G10" s="567"/>
      <c r="H10" s="562"/>
    </row>
    <row r="11" spans="2:8" ht="51" customHeight="1">
      <c r="B11" s="103" t="s">
        <v>122</v>
      </c>
      <c r="C11" s="103">
        <f>G8</f>
        <v>483042</v>
      </c>
      <c r="D11" s="103" t="s">
        <v>203</v>
      </c>
      <c r="E11" s="29">
        <f>Données_comptables!D56</f>
        <v>0</v>
      </c>
      <c r="F11" s="568" t="s">
        <v>204</v>
      </c>
      <c r="G11" s="567">
        <f>C13-E13</f>
        <v>294342</v>
      </c>
      <c r="H11" s="560"/>
    </row>
    <row r="12" spans="2:8">
      <c r="B12" s="103" t="s">
        <v>217</v>
      </c>
      <c r="C12" s="29">
        <v>0</v>
      </c>
      <c r="D12" s="103" t="s">
        <v>123</v>
      </c>
      <c r="E12" s="29">
        <f>Données_comptables!D47+Données_comptables!D64</f>
        <v>188700</v>
      </c>
      <c r="F12" s="568"/>
      <c r="G12" s="567"/>
      <c r="H12" s="561"/>
    </row>
    <row r="13" spans="2:8" ht="12.75" customHeight="1">
      <c r="B13" s="105" t="s">
        <v>31</v>
      </c>
      <c r="C13" s="103">
        <f>SUM(C11:C12)</f>
        <v>483042</v>
      </c>
      <c r="D13" s="105" t="s">
        <v>31</v>
      </c>
      <c r="E13" s="103">
        <f>SUM(E11:E12)</f>
        <v>188700</v>
      </c>
      <c r="F13" s="568"/>
      <c r="G13" s="567"/>
      <c r="H13" s="562"/>
    </row>
    <row r="14" spans="2:8" ht="25.5" customHeight="1">
      <c r="B14" s="103" t="s">
        <v>205</v>
      </c>
      <c r="C14" s="103">
        <f>IF(G11&gt;0,G11,0)</f>
        <v>294342</v>
      </c>
      <c r="D14" s="103" t="s">
        <v>218</v>
      </c>
      <c r="E14" s="103">
        <f>IF(G11&lt;=0,-G11,0)</f>
        <v>0</v>
      </c>
      <c r="F14" s="568" t="s">
        <v>124</v>
      </c>
      <c r="G14" s="571">
        <f>C17-E17</f>
        <v>134342</v>
      </c>
      <c r="H14" s="557"/>
    </row>
    <row r="15" spans="2:8" ht="25.5">
      <c r="B15" s="103" t="s">
        <v>125</v>
      </c>
      <c r="C15" s="29">
        <f>0</f>
        <v>0</v>
      </c>
      <c r="D15" s="103" t="s">
        <v>126</v>
      </c>
      <c r="E15" s="29">
        <f>Données_comptables!D44+Données_comptables!D48</f>
        <v>60000</v>
      </c>
      <c r="F15" s="568"/>
      <c r="G15" s="572"/>
      <c r="H15" s="558"/>
    </row>
    <row r="16" spans="2:8">
      <c r="B16" s="103" t="s">
        <v>127</v>
      </c>
      <c r="C16" s="29">
        <v>0</v>
      </c>
      <c r="D16" s="103" t="s">
        <v>128</v>
      </c>
      <c r="E16" s="29">
        <f>Données_comptables!D50+Données_comptables!D51</f>
        <v>100000</v>
      </c>
      <c r="F16" s="568"/>
      <c r="G16" s="572"/>
      <c r="H16" s="558"/>
    </row>
    <row r="17" spans="2:8" ht="12.75" customHeight="1">
      <c r="B17" s="105" t="s">
        <v>31</v>
      </c>
      <c r="C17" s="103">
        <f>SUM(C14:C16)</f>
        <v>294342</v>
      </c>
      <c r="D17" s="105" t="s">
        <v>31</v>
      </c>
      <c r="E17" s="103">
        <f>SUM(E14:E16)</f>
        <v>160000</v>
      </c>
      <c r="F17" s="568"/>
      <c r="G17" s="573"/>
      <c r="H17" s="559"/>
    </row>
    <row r="18" spans="2:8" ht="39" customHeight="1">
      <c r="B18" s="103" t="s">
        <v>219</v>
      </c>
      <c r="C18" s="103">
        <f>IF(G14&gt;0,G14,0)</f>
        <v>134342</v>
      </c>
      <c r="D18" s="103" t="s">
        <v>220</v>
      </c>
      <c r="E18" s="103">
        <f>IF(G14&lt;=0,-G14,0)</f>
        <v>0</v>
      </c>
      <c r="F18" s="568" t="s">
        <v>129</v>
      </c>
      <c r="G18" s="571">
        <f>C21-E21</f>
        <v>133415</v>
      </c>
      <c r="H18" s="557"/>
    </row>
    <row r="19" spans="2:8" ht="25.5">
      <c r="B19" s="103" t="s">
        <v>130</v>
      </c>
      <c r="C19" s="29">
        <v>0</v>
      </c>
      <c r="D19" s="103" t="s">
        <v>130</v>
      </c>
      <c r="E19" s="29">
        <v>0</v>
      </c>
      <c r="F19" s="568"/>
      <c r="G19" s="572"/>
      <c r="H19" s="558"/>
    </row>
    <row r="20" spans="2:8">
      <c r="B20" s="103" t="s">
        <v>48</v>
      </c>
      <c r="C20" s="29">
        <f>Données_comptables!H53</f>
        <v>0</v>
      </c>
      <c r="D20" s="103" t="s">
        <v>47</v>
      </c>
      <c r="E20" s="29">
        <f>Données_comptables!D53+Données_comptables!D54+Données_comptables!D55</f>
        <v>927</v>
      </c>
      <c r="F20" s="568"/>
      <c r="G20" s="572"/>
      <c r="H20" s="558"/>
    </row>
    <row r="21" spans="2:8" ht="14.25" customHeight="1">
      <c r="B21" s="105" t="s">
        <v>31</v>
      </c>
      <c r="C21" s="103">
        <f>SUM(C18:C20)</f>
        <v>134342</v>
      </c>
      <c r="D21" s="105" t="s">
        <v>31</v>
      </c>
      <c r="E21" s="103">
        <f>SUM(E18:E20)</f>
        <v>927</v>
      </c>
      <c r="F21" s="568"/>
      <c r="G21" s="573"/>
      <c r="H21" s="559"/>
    </row>
    <row r="22" spans="2:8">
      <c r="B22" s="103" t="s">
        <v>53</v>
      </c>
      <c r="C22" s="29">
        <f>Données_comptables!I56</f>
        <v>30000</v>
      </c>
      <c r="D22" s="103" t="s">
        <v>52</v>
      </c>
      <c r="E22" s="29">
        <f>Données_comptables!E56</f>
        <v>0</v>
      </c>
      <c r="F22" s="104" t="s">
        <v>131</v>
      </c>
      <c r="G22" s="103">
        <f>C22-E22</f>
        <v>30000</v>
      </c>
      <c r="H22" s="56"/>
    </row>
    <row r="23" spans="2:8" ht="25.5" customHeight="1">
      <c r="B23" s="103" t="s">
        <v>207</v>
      </c>
      <c r="C23" s="103">
        <f>IF(G18&gt;0,G18,0)</f>
        <v>133415</v>
      </c>
      <c r="D23" s="103" t="s">
        <v>208</v>
      </c>
      <c r="E23" s="103">
        <f>IF(G18&lt;=0,-G18,0)</f>
        <v>0</v>
      </c>
      <c r="F23" s="564" t="s">
        <v>210</v>
      </c>
      <c r="G23" s="563">
        <f>C27-E27</f>
        <v>114313</v>
      </c>
      <c r="H23" s="557"/>
    </row>
    <row r="24" spans="2:8">
      <c r="B24" s="103" t="s">
        <v>206</v>
      </c>
      <c r="C24" s="103">
        <f>IF(G22&gt;0,G22,0)</f>
        <v>30000</v>
      </c>
      <c r="D24" s="103" t="s">
        <v>209</v>
      </c>
      <c r="E24" s="103">
        <f>IF(G22&lt;=0,-G22,0)</f>
        <v>0</v>
      </c>
      <c r="F24" s="565"/>
      <c r="G24" s="563"/>
      <c r="H24" s="558"/>
    </row>
    <row r="25" spans="2:8" ht="38.25">
      <c r="B25" s="103"/>
      <c r="C25" s="103"/>
      <c r="D25" s="103" t="s">
        <v>132</v>
      </c>
      <c r="E25" s="184" t="s">
        <v>323</v>
      </c>
      <c r="F25" s="565"/>
      <c r="G25" s="563"/>
      <c r="H25" s="558"/>
    </row>
    <row r="26" spans="2:8">
      <c r="B26" s="103"/>
      <c r="C26" s="103"/>
      <c r="D26" s="103" t="s">
        <v>145</v>
      </c>
      <c r="E26" s="29">
        <f>Données_comptables!D63</f>
        <v>49102</v>
      </c>
      <c r="F26" s="566"/>
      <c r="G26" s="563"/>
      <c r="H26" s="558"/>
    </row>
    <row r="27" spans="2:8" ht="14.25" customHeight="1">
      <c r="B27" s="105" t="s">
        <v>31</v>
      </c>
      <c r="C27" s="103">
        <f>SUM(C23:C26)</f>
        <v>163415</v>
      </c>
      <c r="D27" s="105" t="s">
        <v>31</v>
      </c>
      <c r="E27" s="103">
        <f>SUM(E23:E26)</f>
        <v>49102</v>
      </c>
      <c r="F27" s="265" t="s">
        <v>363</v>
      </c>
      <c r="G27" s="271" t="str">
        <f>IF(Données_comptables!G8=SIG!G23,"OK","Modification(s) à effectuer")</f>
        <v>OK</v>
      </c>
      <c r="H27" s="559"/>
    </row>
    <row r="28" spans="2:8" ht="25.5">
      <c r="B28" s="103" t="s">
        <v>211</v>
      </c>
      <c r="C28" s="29">
        <f>Données_comptables!H57</f>
        <v>0</v>
      </c>
      <c r="D28" s="103" t="s">
        <v>133</v>
      </c>
      <c r="E28" s="29">
        <f>Données_comptables!D57</f>
        <v>0</v>
      </c>
      <c r="F28" s="104" t="s">
        <v>212</v>
      </c>
      <c r="G28" s="103">
        <f>C28-E28</f>
        <v>0</v>
      </c>
      <c r="H28" s="56"/>
    </row>
  </sheetData>
  <mergeCells count="23">
    <mergeCell ref="B2:G2"/>
    <mergeCell ref="E4:E6"/>
    <mergeCell ref="D4:D6"/>
    <mergeCell ref="F4:F7"/>
    <mergeCell ref="G4:G7"/>
    <mergeCell ref="G23:G26"/>
    <mergeCell ref="F23:F26"/>
    <mergeCell ref="D8:D9"/>
    <mergeCell ref="F8:F10"/>
    <mergeCell ref="G8:G10"/>
    <mergeCell ref="E8:E9"/>
    <mergeCell ref="G14:G17"/>
    <mergeCell ref="G18:G21"/>
    <mergeCell ref="F11:F13"/>
    <mergeCell ref="G11:G13"/>
    <mergeCell ref="F14:F17"/>
    <mergeCell ref="F18:F21"/>
    <mergeCell ref="H23:H27"/>
    <mergeCell ref="H4:H7"/>
    <mergeCell ref="H8:H10"/>
    <mergeCell ref="H11:H13"/>
    <mergeCell ref="H14:H17"/>
    <mergeCell ref="H18:H21"/>
  </mergeCells>
  <pageMargins left="0.70000000000000007" right="0.70000000000000007" top="0.75" bottom="0.75" header="0.30000000000000004" footer="0.3000000000000000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theme="9"/>
  </sheetPr>
  <dimension ref="B1:H38"/>
  <sheetViews>
    <sheetView workbookViewId="0">
      <selection activeCell="G15" sqref="G15"/>
    </sheetView>
  </sheetViews>
  <sheetFormatPr baseColWidth="10" defaultRowHeight="12.75"/>
  <cols>
    <col min="1" max="1" width="11.42578125" customWidth="1"/>
    <col min="2" max="2" width="34.5703125" style="14" customWidth="1"/>
    <col min="3" max="4" width="12.85546875" bestFit="1" customWidth="1"/>
    <col min="5" max="5" width="11.42578125" customWidth="1"/>
    <col min="6" max="6" width="33.5703125" style="88" customWidth="1"/>
    <col min="7" max="8" width="12.85546875" bestFit="1" customWidth="1"/>
    <col min="9" max="10" width="11.42578125" customWidth="1"/>
  </cols>
  <sheetData>
    <row r="1" spans="2:4" ht="13.5" thickBot="1"/>
    <row r="2" spans="2:4" ht="31.5" customHeight="1" thickBot="1">
      <c r="B2" s="65" t="str">
        <f>CONCATENATE("Capacité d'autofinancement (CAF) à partir du résultat de l'année ",Donnees_de_jeu!E6)</f>
        <v>Capacité d'autofinancement (CAF) à partir du résultat de l'année 2023</v>
      </c>
      <c r="C2" s="71" t="s">
        <v>134</v>
      </c>
      <c r="D2" s="72" t="s">
        <v>135</v>
      </c>
    </row>
    <row r="3" spans="2:4" ht="25.5">
      <c r="B3" s="82" t="s">
        <v>136</v>
      </c>
      <c r="C3" s="59">
        <f>IF(Données_comptables!G8&lt;0,-Données_comptables!G8,0)</f>
        <v>0</v>
      </c>
      <c r="D3" s="83">
        <f>IF(Données_comptables!G8&gt;0,Données_comptables!G8,0)</f>
        <v>114313</v>
      </c>
    </row>
    <row r="4" spans="2:4">
      <c r="B4" s="77" t="s">
        <v>235</v>
      </c>
      <c r="C4" s="80"/>
      <c r="D4" s="81"/>
    </row>
    <row r="5" spans="2:4" ht="25.5">
      <c r="B5" s="75" t="s">
        <v>236</v>
      </c>
      <c r="C5" s="80"/>
      <c r="D5" s="81"/>
    </row>
    <row r="6" spans="2:4">
      <c r="B6" s="75" t="s">
        <v>137</v>
      </c>
      <c r="D6" s="76">
        <f>Données_comptables!D44+Données_comptables!D48</f>
        <v>60000</v>
      </c>
    </row>
    <row r="7" spans="2:4">
      <c r="B7" s="75" t="s">
        <v>138</v>
      </c>
      <c r="C7" s="52"/>
      <c r="D7" s="76"/>
    </row>
    <row r="8" spans="2:4">
      <c r="B8" s="75" t="s">
        <v>139</v>
      </c>
      <c r="C8" s="52"/>
      <c r="D8" s="76"/>
    </row>
    <row r="9" spans="2:4" ht="25.5">
      <c r="B9" s="75" t="s">
        <v>237</v>
      </c>
      <c r="D9" s="76">
        <f>Données_comptables!D57</f>
        <v>0</v>
      </c>
    </row>
    <row r="10" spans="2:4">
      <c r="B10" s="77" t="s">
        <v>140</v>
      </c>
      <c r="C10" s="80"/>
      <c r="D10" s="81"/>
    </row>
    <row r="11" spans="2:4" ht="25.5">
      <c r="B11" s="75" t="s">
        <v>239</v>
      </c>
      <c r="C11" s="80"/>
      <c r="D11" s="81"/>
    </row>
    <row r="12" spans="2:4">
      <c r="B12" s="75" t="s">
        <v>240</v>
      </c>
      <c r="C12" s="52"/>
      <c r="D12" s="76"/>
    </row>
    <row r="13" spans="2:4">
      <c r="B13" s="75" t="s">
        <v>241</v>
      </c>
      <c r="C13" s="52"/>
      <c r="D13" s="76"/>
    </row>
    <row r="14" spans="2:4">
      <c r="B14" s="75" t="s">
        <v>242</v>
      </c>
      <c r="C14" s="52"/>
      <c r="D14" s="76"/>
    </row>
    <row r="15" spans="2:4" ht="38.25">
      <c r="B15" s="75" t="s">
        <v>141</v>
      </c>
      <c r="C15" s="52"/>
      <c r="D15" s="76"/>
    </row>
    <row r="16" spans="2:4" ht="25.5">
      <c r="B16" s="75" t="s">
        <v>211</v>
      </c>
      <c r="C16" s="52">
        <f>Données_comptables!H57</f>
        <v>0</v>
      </c>
      <c r="D16" s="87"/>
    </row>
    <row r="17" spans="2:8" ht="13.5" thickBot="1">
      <c r="B17" s="66" t="s">
        <v>31</v>
      </c>
      <c r="C17" s="84">
        <f>SUM(C3:C16)</f>
        <v>0</v>
      </c>
      <c r="D17" s="85">
        <f>SUM(D3:D16)</f>
        <v>174313</v>
      </c>
    </row>
    <row r="18" spans="2:8" ht="13.5" thickBot="1">
      <c r="B18" s="67" t="s">
        <v>238</v>
      </c>
      <c r="C18" s="218">
        <f>IF(D17-C17 &lt; 0,D17-C17,0)</f>
        <v>0</v>
      </c>
      <c r="D18" s="219">
        <f>IF(D17-C17 &gt; 0,D17-C17,0)</f>
        <v>174313</v>
      </c>
    </row>
    <row r="19" spans="2:8" ht="13.5" thickBot="1"/>
    <row r="20" spans="2:8" ht="26.25" thickBot="1">
      <c r="B20" s="68" t="str">
        <f>CONCATENATE("Capacité d'autofinancement (CAF) à partir de l'EBE (ou IBE) de l'année ",Donnees_de_jeu!E24)</f>
        <v xml:space="preserve">Capacité d'autofinancement (CAF) à partir de l'EBE (ou IBE) de l'année </v>
      </c>
      <c r="C20" s="73" t="s">
        <v>134</v>
      </c>
      <c r="D20" s="74" t="s">
        <v>135</v>
      </c>
      <c r="F20" s="68" t="str">
        <f>CONCATENATE("Autofinancement (AF) de l'année ",Donnees_de_jeu!E6)</f>
        <v>Autofinancement (AF) de l'année 2023</v>
      </c>
      <c r="G20" s="73" t="s">
        <v>134</v>
      </c>
      <c r="H20" s="74" t="s">
        <v>135</v>
      </c>
    </row>
    <row r="21" spans="2:8">
      <c r="B21" s="86" t="s">
        <v>243</v>
      </c>
      <c r="C21" s="91">
        <f>IF(SIG!G11&lt;0,-SIG!G11,0)</f>
        <v>0</v>
      </c>
      <c r="D21" s="258">
        <f>IF(SIG!G11&gt;0,SIG!G11,0)</f>
        <v>294342</v>
      </c>
      <c r="F21" s="89" t="s">
        <v>238</v>
      </c>
      <c r="G21" s="91">
        <f>IF(E38="Ok",C18,"La CAF a mal été calculée en amont")</f>
        <v>0</v>
      </c>
      <c r="H21" s="92">
        <f>IF(E38="Ok",D18,"La CAF a mal été calculée en amont")</f>
        <v>174313</v>
      </c>
    </row>
    <row r="22" spans="2:8">
      <c r="B22" s="77" t="s">
        <v>244</v>
      </c>
      <c r="C22" s="80"/>
      <c r="D22" s="81"/>
      <c r="F22" s="90" t="str">
        <f>CONCATENATE("Dividendes versés en ",Donnees_de_jeu!E6+1)</f>
        <v>Dividendes versés en 2024</v>
      </c>
      <c r="G22" s="93">
        <f>Données_financières!C23</f>
        <v>0</v>
      </c>
      <c r="H22" s="81"/>
    </row>
    <row r="23" spans="2:8" ht="13.5" thickBot="1">
      <c r="B23" s="75" t="s">
        <v>142</v>
      </c>
      <c r="C23" s="52"/>
      <c r="D23" s="76"/>
      <c r="F23" s="69" t="s">
        <v>253</v>
      </c>
      <c r="G23" s="220">
        <f>SUM(H21:H22)-SUM(G21:G22)</f>
        <v>174313</v>
      </c>
      <c r="H23" s="221"/>
    </row>
    <row r="24" spans="2:8" ht="25.5">
      <c r="B24" s="75" t="s">
        <v>251</v>
      </c>
      <c r="C24" s="52"/>
      <c r="D24" s="76"/>
    </row>
    <row r="25" spans="2:8">
      <c r="B25" s="75" t="s">
        <v>143</v>
      </c>
      <c r="C25" s="52"/>
      <c r="D25" s="76"/>
    </row>
    <row r="26" spans="2:8">
      <c r="B26" s="75" t="s">
        <v>144</v>
      </c>
      <c r="C26" s="52"/>
      <c r="D26" s="76"/>
    </row>
    <row r="27" spans="2:8" ht="30.75" customHeight="1">
      <c r="B27" s="75" t="s">
        <v>245</v>
      </c>
      <c r="C27" s="52"/>
      <c r="D27" s="76">
        <f>Données_comptables!H53</f>
        <v>0</v>
      </c>
    </row>
    <row r="28" spans="2:8">
      <c r="B28" s="75" t="s">
        <v>246</v>
      </c>
      <c r="C28" s="52"/>
      <c r="D28" s="76"/>
    </row>
    <row r="29" spans="2:8" ht="25.5">
      <c r="B29" s="75" t="s">
        <v>252</v>
      </c>
      <c r="C29" s="52"/>
      <c r="D29" s="76">
        <f>Données_comptables!H59+Données_comptables!H62</f>
        <v>30000</v>
      </c>
    </row>
    <row r="30" spans="2:8">
      <c r="B30" s="77" t="s">
        <v>247</v>
      </c>
      <c r="C30" s="80"/>
      <c r="D30" s="81"/>
    </row>
    <row r="31" spans="2:8" ht="25.5">
      <c r="B31" s="75" t="s">
        <v>249</v>
      </c>
      <c r="C31" s="52">
        <f>Données_comptables!D50+Données_comptables!D51</f>
        <v>100000</v>
      </c>
      <c r="D31" s="76"/>
    </row>
    <row r="32" spans="2:8">
      <c r="B32" s="75" t="s">
        <v>143</v>
      </c>
      <c r="C32" s="52"/>
      <c r="D32" s="76"/>
    </row>
    <row r="33" spans="2:5" ht="25.5">
      <c r="B33" s="75" t="s">
        <v>248</v>
      </c>
      <c r="C33" s="52">
        <f>Données_comptables!D53+Données_comptables!D54</f>
        <v>927</v>
      </c>
      <c r="D33" s="76"/>
    </row>
    <row r="34" spans="2:5" ht="25.5">
      <c r="B34" s="75" t="s">
        <v>250</v>
      </c>
      <c r="C34" s="52">
        <f>Données_comptables!D59</f>
        <v>0</v>
      </c>
      <c r="D34" s="76"/>
    </row>
    <row r="35" spans="2:5">
      <c r="B35" s="75" t="s">
        <v>132</v>
      </c>
      <c r="C35" s="52">
        <f>Données_comptables!D64</f>
        <v>0</v>
      </c>
      <c r="D35" s="76"/>
    </row>
    <row r="36" spans="2:5">
      <c r="B36" s="75" t="s">
        <v>145</v>
      </c>
      <c r="C36" s="52">
        <f>Données_comptables!D63</f>
        <v>49102</v>
      </c>
      <c r="D36" s="76"/>
    </row>
    <row r="37" spans="2:5" ht="13.5" thickBot="1">
      <c r="B37" s="70" t="s">
        <v>31</v>
      </c>
      <c r="C37" s="78">
        <f>SUM(C21:C36)</f>
        <v>150029</v>
      </c>
      <c r="D37" s="79">
        <f>SUM(D21:D36)</f>
        <v>324342</v>
      </c>
    </row>
    <row r="38" spans="2:5" ht="13.5" thickBot="1">
      <c r="B38" s="69" t="s">
        <v>238</v>
      </c>
      <c r="C38" s="218">
        <f>IF(D37-C37 &lt; 0,D37-C37,0)</f>
        <v>0</v>
      </c>
      <c r="D38" s="219">
        <f>IF(D37-C37 &gt; 0,D37-C37,0)</f>
        <v>174313</v>
      </c>
      <c r="E38" t="str">
        <f>IF(C18=C38,"Ok","Modification(s) à effectuer")</f>
        <v>Ok</v>
      </c>
    </row>
  </sheetData>
  <pageMargins left="0.70000000000000007" right="0.70000000000000007" top="0.75" bottom="0.75" header="0.30000000000000004" footer="0.3000000000000000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theme="9"/>
  </sheetPr>
  <dimension ref="B2:J21"/>
  <sheetViews>
    <sheetView workbookViewId="0">
      <selection activeCell="F10" sqref="F10"/>
    </sheetView>
  </sheetViews>
  <sheetFormatPr baseColWidth="10" defaultRowHeight="12.75"/>
  <cols>
    <col min="1" max="1" width="11.42578125" customWidth="1"/>
    <col min="2" max="2" width="11.42578125" style="14"/>
    <col min="3" max="3" width="24.85546875" style="14" customWidth="1"/>
    <col min="4" max="4" width="12.85546875" style="14" bestFit="1" customWidth="1"/>
    <col min="5" max="5" width="24.85546875" style="14" customWidth="1"/>
    <col min="6" max="6" width="12.85546875" style="14" bestFit="1" customWidth="1"/>
    <col min="7" max="7" width="11.42578125" style="14"/>
    <col min="10" max="10" width="12.85546875" bestFit="1" customWidth="1"/>
  </cols>
  <sheetData>
    <row r="2" spans="2:10">
      <c r="B2" s="580" t="str">
        <f>CONCATENATE("Bilan fonctionnel au 31/12/",Donnees_de_jeu!E6)</f>
        <v>Bilan fonctionnel au 31/12/2023</v>
      </c>
      <c r="C2" s="580"/>
      <c r="D2" s="580"/>
      <c r="E2" s="580"/>
      <c r="F2" s="580"/>
      <c r="G2" s="580"/>
    </row>
    <row r="3" spans="2:10">
      <c r="B3" s="28" t="s">
        <v>254</v>
      </c>
      <c r="C3" s="28" t="s">
        <v>13</v>
      </c>
      <c r="D3" s="28" t="s">
        <v>15</v>
      </c>
      <c r="E3" s="28" t="s">
        <v>14</v>
      </c>
      <c r="F3" s="28" t="s">
        <v>15</v>
      </c>
      <c r="G3" s="28" t="s">
        <v>254</v>
      </c>
    </row>
    <row r="4" spans="2:10">
      <c r="B4" s="581" t="s">
        <v>256</v>
      </c>
      <c r="C4" s="107" t="s">
        <v>161</v>
      </c>
      <c r="D4" s="124">
        <f>SUM(D5:D7)</f>
        <v>300000</v>
      </c>
      <c r="E4" s="109" t="s">
        <v>162</v>
      </c>
      <c r="F4" s="119">
        <f ca="1">SUM(F5:F7)</f>
        <v>518220</v>
      </c>
      <c r="G4" s="583" t="s">
        <v>163</v>
      </c>
      <c r="I4" s="23" t="s">
        <v>164</v>
      </c>
      <c r="J4" s="49">
        <f ca="1">F4-D4</f>
        <v>218220</v>
      </c>
    </row>
    <row r="5" spans="2:10">
      <c r="B5" s="581"/>
      <c r="C5" s="108" t="s">
        <v>165</v>
      </c>
      <c r="D5" s="50">
        <f>Données_comptables!C6+Données_comptables!C7</f>
        <v>300000</v>
      </c>
      <c r="E5" s="110" t="s">
        <v>19</v>
      </c>
      <c r="F5" s="50">
        <f>Données_comptables!G5</f>
        <v>398220</v>
      </c>
      <c r="G5" s="583"/>
    </row>
    <row r="6" spans="2:10" ht="25.5">
      <c r="B6" s="581"/>
      <c r="C6" s="108" t="s">
        <v>166</v>
      </c>
      <c r="D6" s="50"/>
      <c r="E6" s="110" t="s">
        <v>255</v>
      </c>
      <c r="F6" s="50">
        <f ca="1">Données_comptables!D19</f>
        <v>120000</v>
      </c>
      <c r="G6" s="583"/>
    </row>
    <row r="7" spans="2:10" ht="25.5">
      <c r="B7" s="582"/>
      <c r="C7" s="111" t="s">
        <v>167</v>
      </c>
      <c r="D7" s="120"/>
      <c r="E7" s="112" t="s">
        <v>168</v>
      </c>
      <c r="F7" s="120">
        <f>Données_comptables!G11+Données_comptables!G14</f>
        <v>0</v>
      </c>
      <c r="G7" s="584"/>
    </row>
    <row r="8" spans="2:10" ht="25.5" customHeight="1">
      <c r="B8" s="585" t="s">
        <v>169</v>
      </c>
      <c r="C8" s="113" t="s">
        <v>257</v>
      </c>
      <c r="D8" s="121">
        <f>SUM(D9:D13)</f>
        <v>59280</v>
      </c>
      <c r="E8" s="113" t="s">
        <v>258</v>
      </c>
      <c r="F8" s="121">
        <f>SUM(F9:F13)</f>
        <v>49102</v>
      </c>
      <c r="G8" s="585" t="s">
        <v>169</v>
      </c>
      <c r="I8" s="23" t="s">
        <v>170</v>
      </c>
      <c r="J8" s="49">
        <f>J9+J10</f>
        <v>10178</v>
      </c>
    </row>
    <row r="9" spans="2:10">
      <c r="B9" s="585"/>
      <c r="C9" s="114" t="s">
        <v>23</v>
      </c>
      <c r="D9" s="50">
        <f>Données_comptables!C11+Données_comptables!C12+Données_comptables!C13</f>
        <v>59280</v>
      </c>
      <c r="E9" s="114" t="s">
        <v>261</v>
      </c>
      <c r="F9" s="50">
        <f>Données_comptables!G13</f>
        <v>0</v>
      </c>
      <c r="G9" s="585"/>
      <c r="I9" s="23" t="s">
        <v>171</v>
      </c>
      <c r="J9" s="49">
        <f>D8-F8</f>
        <v>10178</v>
      </c>
    </row>
    <row r="10" spans="2:10" ht="25.5">
      <c r="B10" s="585"/>
      <c r="C10" s="114" t="s">
        <v>172</v>
      </c>
      <c r="D10" s="50">
        <f>Données_comptables!C14</f>
        <v>0</v>
      </c>
      <c r="E10" s="114" t="s">
        <v>173</v>
      </c>
      <c r="F10" s="50">
        <f>Données_comptables!G12</f>
        <v>49102</v>
      </c>
      <c r="G10" s="585"/>
      <c r="I10" s="23" t="s">
        <v>174</v>
      </c>
      <c r="J10" s="49">
        <f>D14-F14</f>
        <v>0</v>
      </c>
    </row>
    <row r="11" spans="2:10" ht="25.5">
      <c r="B11" s="585"/>
      <c r="C11" s="114" t="s">
        <v>175</v>
      </c>
      <c r="D11" s="50"/>
      <c r="E11" s="114" t="s">
        <v>176</v>
      </c>
      <c r="F11" s="50"/>
      <c r="G11" s="585"/>
    </row>
    <row r="12" spans="2:10" ht="25.5">
      <c r="B12" s="585"/>
      <c r="C12" s="114" t="s">
        <v>259</v>
      </c>
      <c r="D12" s="50"/>
      <c r="E12" s="114" t="s">
        <v>262</v>
      </c>
      <c r="F12" s="50"/>
      <c r="G12" s="585"/>
    </row>
    <row r="13" spans="2:10">
      <c r="B13" s="585"/>
      <c r="C13" s="114" t="s">
        <v>260</v>
      </c>
      <c r="D13" s="50"/>
      <c r="E13" s="114" t="s">
        <v>263</v>
      </c>
      <c r="F13" s="50"/>
      <c r="G13" s="585"/>
    </row>
    <row r="14" spans="2:10" ht="25.5" customHeight="1">
      <c r="B14" s="578" t="s">
        <v>177</v>
      </c>
      <c r="C14" s="116" t="s">
        <v>178</v>
      </c>
      <c r="D14" s="122">
        <f>SUM(D15:D18)</f>
        <v>0</v>
      </c>
      <c r="E14" s="116" t="s">
        <v>179</v>
      </c>
      <c r="F14" s="122">
        <f>SUM(F15:F18)</f>
        <v>0</v>
      </c>
      <c r="G14" s="578" t="s">
        <v>177</v>
      </c>
    </row>
    <row r="15" spans="2:10" ht="25.5">
      <c r="B15" s="578"/>
      <c r="C15" s="94" t="s">
        <v>180</v>
      </c>
      <c r="D15" s="50"/>
      <c r="E15" s="94" t="s">
        <v>181</v>
      </c>
      <c r="F15" s="50"/>
      <c r="G15" s="578"/>
    </row>
    <row r="16" spans="2:10">
      <c r="B16" s="578"/>
      <c r="C16" s="94" t="s">
        <v>182</v>
      </c>
      <c r="D16" s="50"/>
      <c r="E16" s="94" t="s">
        <v>264</v>
      </c>
      <c r="F16" s="50"/>
      <c r="G16" s="578"/>
    </row>
    <row r="17" spans="2:10" ht="25.5">
      <c r="B17" s="578"/>
      <c r="C17" s="94" t="s">
        <v>183</v>
      </c>
      <c r="D17" s="50"/>
      <c r="E17" s="94" t="s">
        <v>266</v>
      </c>
      <c r="F17" s="50"/>
      <c r="G17" s="578"/>
    </row>
    <row r="18" spans="2:10">
      <c r="B18" s="578"/>
      <c r="C18" s="94" t="s">
        <v>265</v>
      </c>
      <c r="D18" s="50"/>
      <c r="E18" s="94" t="s">
        <v>184</v>
      </c>
      <c r="F18" s="50"/>
      <c r="G18" s="578"/>
    </row>
    <row r="19" spans="2:10" ht="12.75" customHeight="1">
      <c r="B19" s="579" t="s">
        <v>185</v>
      </c>
      <c r="C19" s="118" t="s">
        <v>186</v>
      </c>
      <c r="D19" s="123">
        <f>D20</f>
        <v>208969</v>
      </c>
      <c r="E19" s="118" t="s">
        <v>187</v>
      </c>
      <c r="F19" s="123">
        <f>F20</f>
        <v>927</v>
      </c>
      <c r="G19" s="579" t="s">
        <v>185</v>
      </c>
      <c r="I19" s="23" t="s">
        <v>188</v>
      </c>
      <c r="J19" s="49">
        <f>D19-F19</f>
        <v>208042</v>
      </c>
    </row>
    <row r="20" spans="2:10" ht="25.5">
      <c r="B20" s="579"/>
      <c r="C20" s="117" t="s">
        <v>28</v>
      </c>
      <c r="D20" s="50">
        <f>Données_comptables!C18</f>
        <v>208969</v>
      </c>
      <c r="E20" s="117" t="s">
        <v>189</v>
      </c>
      <c r="F20" s="50">
        <f>Données_comptables!G15</f>
        <v>927</v>
      </c>
      <c r="G20" s="579"/>
      <c r="I20" s="23" t="s">
        <v>190</v>
      </c>
      <c r="J20" s="49">
        <f ca="1">J4-J8</f>
        <v>208042</v>
      </c>
    </row>
    <row r="21" spans="2:10">
      <c r="B21" s="28"/>
      <c r="C21" s="30" t="s">
        <v>31</v>
      </c>
      <c r="D21" s="50">
        <f>SUM(D4,D8,D14,D19)</f>
        <v>568249</v>
      </c>
      <c r="E21" s="30" t="s">
        <v>31</v>
      </c>
      <c r="F21" s="50">
        <f ca="1">SUM(F4,F8,F14,F19)</f>
        <v>568249</v>
      </c>
      <c r="G21" s="28"/>
    </row>
  </sheetData>
  <mergeCells count="9">
    <mergeCell ref="B14:B18"/>
    <mergeCell ref="G14:G18"/>
    <mergeCell ref="B19:B20"/>
    <mergeCell ref="G19:G20"/>
    <mergeCell ref="B2:G2"/>
    <mergeCell ref="B4:B7"/>
    <mergeCell ref="G4:G7"/>
    <mergeCell ref="B8:B13"/>
    <mergeCell ref="G8:G13"/>
  </mergeCells>
  <pageMargins left="0.70000000000000007" right="0.70000000000000007" top="0.75" bottom="0.75" header="0.30000000000000004" footer="0.30000000000000004"/>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theme="9"/>
  </sheetPr>
  <dimension ref="B2:R32"/>
  <sheetViews>
    <sheetView topLeftCell="B1" zoomScaleNormal="100" workbookViewId="0">
      <selection activeCell="C31" sqref="C31"/>
    </sheetView>
  </sheetViews>
  <sheetFormatPr baseColWidth="10" defaultRowHeight="12.75"/>
  <cols>
    <col min="1" max="1" width="12.140625" customWidth="1"/>
    <col min="2" max="2" width="32.28515625" style="14" customWidth="1"/>
    <col min="3" max="3" width="14.42578125" style="14" bestFit="1" customWidth="1"/>
    <col min="4" max="6" width="12.85546875" bestFit="1" customWidth="1"/>
    <col min="7" max="8" width="14.42578125" bestFit="1" customWidth="1"/>
    <col min="11" max="11" width="23.42578125" customWidth="1"/>
    <col min="12" max="13" width="12.85546875" bestFit="1" customWidth="1"/>
    <col min="14" max="14" width="14" customWidth="1"/>
    <col min="16" max="16" width="17.5703125" customWidth="1"/>
    <col min="17" max="17" width="12.85546875" bestFit="1" customWidth="1"/>
  </cols>
  <sheetData>
    <row r="2" spans="2:18" ht="12.75" customHeight="1">
      <c r="B2" s="590" t="s">
        <v>146</v>
      </c>
      <c r="C2" s="591"/>
      <c r="D2" s="591"/>
      <c r="E2" s="591"/>
      <c r="F2" s="591"/>
      <c r="G2" s="591"/>
      <c r="H2" s="591"/>
    </row>
    <row r="3" spans="2:18">
      <c r="B3" s="7"/>
      <c r="C3" s="3" t="str">
        <f>CONCATENATE("Début ",Donnees_de_jeu!E$6)</f>
        <v>Début 2023</v>
      </c>
      <c r="D3" s="3" t="str">
        <f>CONCATENATE("Fin ",Donnees_de_jeu!E$6)</f>
        <v>Fin 2023</v>
      </c>
      <c r="E3" s="3">
        <f>Donnees_de_jeu!$E$6+1</f>
        <v>2024</v>
      </c>
      <c r="F3" s="3">
        <f t="shared" ref="F3:H3" si="0">E3+1</f>
        <v>2025</v>
      </c>
      <c r="G3" s="3">
        <f t="shared" si="0"/>
        <v>2026</v>
      </c>
      <c r="H3" s="3">
        <f t="shared" si="0"/>
        <v>2027</v>
      </c>
      <c r="K3" s="28" t="s">
        <v>74</v>
      </c>
      <c r="L3" s="125" t="str">
        <f>Donnees_de_jeu!C11</f>
        <v>Classique</v>
      </c>
      <c r="M3" s="125" t="str">
        <f>Donnees_de_jeu!C12</f>
        <v>Moderne</v>
      </c>
      <c r="P3" s="23" t="s">
        <v>381</v>
      </c>
    </row>
    <row r="4" spans="2:18">
      <c r="B4" s="7" t="s">
        <v>147</v>
      </c>
      <c r="C4" s="274"/>
      <c r="D4" s="273">
        <f>$N$13</f>
        <v>875000</v>
      </c>
      <c r="E4" s="273">
        <f>$N$13</f>
        <v>875000</v>
      </c>
      <c r="F4" s="273">
        <f>$N$13</f>
        <v>875000</v>
      </c>
      <c r="G4" s="273">
        <f>$N$13</f>
        <v>875000</v>
      </c>
      <c r="H4" s="273">
        <f>$N$13</f>
        <v>875000</v>
      </c>
      <c r="K4" s="28" t="s">
        <v>373</v>
      </c>
      <c r="L4" s="28">
        <v>1</v>
      </c>
      <c r="M4" s="28">
        <v>0</v>
      </c>
      <c r="P4" s="277">
        <f>1/3</f>
        <v>0.33333333333333331</v>
      </c>
    </row>
    <row r="5" spans="2:18" ht="25.5">
      <c r="B5" s="7" t="s">
        <v>148</v>
      </c>
      <c r="C5" s="274"/>
      <c r="D5" s="273">
        <f>$M$32</f>
        <v>495000</v>
      </c>
      <c r="E5" s="273">
        <f>$M$32</f>
        <v>495000</v>
      </c>
      <c r="F5" s="273">
        <f>$M$32</f>
        <v>495000</v>
      </c>
      <c r="G5" s="273">
        <f>$M$32</f>
        <v>495000</v>
      </c>
      <c r="H5" s="273">
        <f>$M$32</f>
        <v>495000</v>
      </c>
      <c r="K5" s="28" t="s">
        <v>374</v>
      </c>
      <c r="L5" s="28">
        <f>3000*Proj_inv!L4</f>
        <v>3000</v>
      </c>
      <c r="M5" s="28">
        <f>10000*M4</f>
        <v>0</v>
      </c>
      <c r="N5" s="23">
        <f>SUM(L5:M5)</f>
        <v>3000</v>
      </c>
    </row>
    <row r="6" spans="2:18" ht="13.5" thickBot="1">
      <c r="B6" s="7" t="s">
        <v>149</v>
      </c>
      <c r="C6" s="274"/>
      <c r="D6" s="273">
        <f>$N$7</f>
        <v>60000</v>
      </c>
      <c r="E6" s="273">
        <f>$N$7</f>
        <v>60000</v>
      </c>
      <c r="F6" s="273">
        <f>$N$7</f>
        <v>60000</v>
      </c>
      <c r="G6" s="273">
        <f>$N$7</f>
        <v>60000</v>
      </c>
      <c r="H6" s="273">
        <f>$N$7</f>
        <v>60000</v>
      </c>
      <c r="K6" s="28" t="s">
        <v>375</v>
      </c>
      <c r="L6" s="50">
        <f>300000*L4</f>
        <v>300000</v>
      </c>
      <c r="M6" s="50">
        <f>900000*M4</f>
        <v>0</v>
      </c>
      <c r="N6" s="52">
        <f>SUM(L6:M6)</f>
        <v>300000</v>
      </c>
      <c r="P6" s="362" t="s">
        <v>383</v>
      </c>
      <c r="Q6" s="362"/>
    </row>
    <row r="7" spans="2:18" ht="13.5" thickTop="1">
      <c r="B7" s="15" t="s">
        <v>150</v>
      </c>
      <c r="C7" s="275"/>
      <c r="D7" s="276">
        <f>D4-D5-D6</f>
        <v>320000</v>
      </c>
      <c r="E7" s="276">
        <f t="shared" ref="E7:H7" si="1">E4-E5-E6</f>
        <v>320000</v>
      </c>
      <c r="F7" s="276">
        <f t="shared" si="1"/>
        <v>320000</v>
      </c>
      <c r="G7" s="276">
        <f t="shared" si="1"/>
        <v>320000</v>
      </c>
      <c r="H7" s="276">
        <f t="shared" si="1"/>
        <v>320000</v>
      </c>
      <c r="K7" s="28" t="s">
        <v>376</v>
      </c>
      <c r="L7" s="50">
        <f>L6/5</f>
        <v>60000</v>
      </c>
      <c r="M7" s="50">
        <f>M6/5</f>
        <v>0</v>
      </c>
      <c r="N7" s="52">
        <f>SUM(L7:M7)</f>
        <v>60000</v>
      </c>
      <c r="P7" s="23" t="s">
        <v>28</v>
      </c>
      <c r="Q7" s="52">
        <v>300000</v>
      </c>
    </row>
    <row r="8" spans="2:18" ht="13.5" thickBot="1">
      <c r="B8" s="7" t="s">
        <v>151</v>
      </c>
      <c r="C8" s="274"/>
      <c r="D8" s="273">
        <f>D7*$P$4</f>
        <v>106666.66666666666</v>
      </c>
      <c r="E8" s="273">
        <f t="shared" ref="E8:H8" si="2">E7*$P$4</f>
        <v>106666.66666666666</v>
      </c>
      <c r="F8" s="273">
        <f t="shared" si="2"/>
        <v>106666.66666666666</v>
      </c>
      <c r="G8" s="273">
        <f t="shared" si="2"/>
        <v>106666.66666666666</v>
      </c>
      <c r="H8" s="273">
        <f t="shared" si="2"/>
        <v>106666.66666666666</v>
      </c>
      <c r="P8" s="23" t="s">
        <v>384</v>
      </c>
      <c r="Q8" s="52"/>
    </row>
    <row r="9" spans="2:18" ht="26.25" thickTop="1">
      <c r="B9" s="15" t="s">
        <v>152</v>
      </c>
      <c r="C9" s="275"/>
      <c r="D9" s="276">
        <f>D7-D8</f>
        <v>213333.33333333334</v>
      </c>
      <c r="E9" s="276">
        <f t="shared" ref="E9:H9" si="3">E7-E8</f>
        <v>213333.33333333334</v>
      </c>
      <c r="F9" s="276">
        <f t="shared" si="3"/>
        <v>213333.33333333334</v>
      </c>
      <c r="G9" s="276">
        <f t="shared" si="3"/>
        <v>213333.33333333334</v>
      </c>
      <c r="H9" s="276">
        <f t="shared" si="3"/>
        <v>213333.33333333334</v>
      </c>
      <c r="K9" s="28" t="s">
        <v>379</v>
      </c>
      <c r="L9" s="28">
        <f>IF(SUM(L10:L12)&gt;N5,"Impossible",SUM(L10:L12))</f>
        <v>2500</v>
      </c>
      <c r="M9" s="23" t="s">
        <v>377</v>
      </c>
      <c r="N9" s="23" t="s">
        <v>378</v>
      </c>
      <c r="P9" s="23" t="s">
        <v>31</v>
      </c>
      <c r="Q9" s="52">
        <f>Q7+Q8</f>
        <v>300000</v>
      </c>
    </row>
    <row r="10" spans="2:18" ht="13.5" thickBot="1">
      <c r="B10" s="7" t="s">
        <v>149</v>
      </c>
      <c r="C10" s="274"/>
      <c r="D10" s="273">
        <f>D6</f>
        <v>60000</v>
      </c>
      <c r="E10" s="273">
        <f t="shared" ref="E10:H10" si="4">E6</f>
        <v>60000</v>
      </c>
      <c r="F10" s="273">
        <f t="shared" si="4"/>
        <v>60000</v>
      </c>
      <c r="G10" s="273">
        <f t="shared" si="4"/>
        <v>60000</v>
      </c>
      <c r="H10" s="273">
        <f t="shared" si="4"/>
        <v>60000</v>
      </c>
      <c r="K10" s="2" t="str">
        <f>Donnees_de_jeu!C6</f>
        <v>Scooter G1</v>
      </c>
      <c r="L10" s="28">
        <v>2500</v>
      </c>
      <c r="M10" s="52">
        <v>350</v>
      </c>
      <c r="N10" s="52">
        <f>L10*M10</f>
        <v>875000</v>
      </c>
    </row>
    <row r="11" spans="2:18" ht="13.5" thickTop="1">
      <c r="B11" s="15" t="s">
        <v>153</v>
      </c>
      <c r="C11" s="275"/>
      <c r="D11" s="276">
        <f>D9+D10</f>
        <v>273333.33333333337</v>
      </c>
      <c r="E11" s="276">
        <f t="shared" ref="E11:H11" si="5">E9+E10</f>
        <v>273333.33333333337</v>
      </c>
      <c r="F11" s="276">
        <f t="shared" si="5"/>
        <v>273333.33333333337</v>
      </c>
      <c r="G11" s="276">
        <f t="shared" si="5"/>
        <v>273333.33333333337</v>
      </c>
      <c r="H11" s="276">
        <f t="shared" si="5"/>
        <v>273333.33333333337</v>
      </c>
      <c r="K11" s="2" t="str">
        <f>Donnees_de_jeu!C7</f>
        <v>Scooter G2</v>
      </c>
      <c r="L11" s="28"/>
      <c r="M11" s="52"/>
      <c r="N11" s="52">
        <f t="shared" ref="N11:N12" si="6">L11*M11</f>
        <v>0</v>
      </c>
      <c r="P11" s="586" t="s">
        <v>385</v>
      </c>
      <c r="Q11" s="442"/>
      <c r="R11" s="23" t="s">
        <v>387</v>
      </c>
    </row>
    <row r="12" spans="2:18">
      <c r="K12" s="2" t="str">
        <f>Donnees_de_jeu!C8</f>
        <v>Scooter G3</v>
      </c>
      <c r="L12" s="28"/>
      <c r="M12" s="52"/>
      <c r="N12" s="52">
        <f t="shared" si="6"/>
        <v>0</v>
      </c>
      <c r="P12" s="23" t="s">
        <v>386</v>
      </c>
      <c r="Q12" s="49">
        <f>50%*Données_comptables!D65</f>
        <v>57156.5</v>
      </c>
      <c r="R12" s="282">
        <f>Q12/Données_comptables!G5</f>
        <v>0.14352995831449952</v>
      </c>
    </row>
    <row r="13" spans="2:18" ht="12.75" customHeight="1">
      <c r="B13" s="592" t="s">
        <v>391</v>
      </c>
      <c r="C13" s="593"/>
      <c r="D13" s="593"/>
      <c r="E13" s="593"/>
      <c r="F13" s="593"/>
      <c r="G13" s="593"/>
      <c r="H13" s="593"/>
      <c r="N13" s="49">
        <f>SUM(N10:N12)</f>
        <v>875000</v>
      </c>
      <c r="P13" s="23" t="s">
        <v>397</v>
      </c>
      <c r="Q13" s="282">
        <f>10%*(1-P4)</f>
        <v>6.666666666666668E-2</v>
      </c>
    </row>
    <row r="14" spans="2:18">
      <c r="B14" s="7"/>
      <c r="C14" s="3" t="str">
        <f>CONCATENATE("Début ",Donnees_de_jeu!E$6)</f>
        <v>Début 2023</v>
      </c>
      <c r="D14" s="3" t="str">
        <f>CONCATENATE("Fin ",Donnees_de_jeu!E$6)</f>
        <v>Fin 2023</v>
      </c>
      <c r="E14" s="3">
        <f>Donnees_de_jeu!$E$6+1</f>
        <v>2024</v>
      </c>
      <c r="F14" s="3">
        <f t="shared" ref="F14:H14" si="7">E14+1</f>
        <v>2025</v>
      </c>
      <c r="G14" s="3">
        <f t="shared" si="7"/>
        <v>2026</v>
      </c>
      <c r="H14" s="3">
        <f t="shared" si="7"/>
        <v>2027</v>
      </c>
    </row>
    <row r="15" spans="2:18">
      <c r="B15" s="7" t="s">
        <v>154</v>
      </c>
      <c r="C15" s="35">
        <f>N6</f>
        <v>300000</v>
      </c>
      <c r="D15" s="278"/>
      <c r="E15" s="278"/>
      <c r="F15" s="278"/>
      <c r="G15" s="278"/>
      <c r="H15" s="278"/>
      <c r="K15" s="362" t="s">
        <v>380</v>
      </c>
      <c r="L15" s="362"/>
      <c r="M15" s="362"/>
      <c r="P15" s="23" t="s">
        <v>382</v>
      </c>
    </row>
    <row r="16" spans="2:18">
      <c r="B16" s="7" t="s">
        <v>155</v>
      </c>
      <c r="C16" s="35"/>
      <c r="D16" s="279"/>
      <c r="E16" s="279"/>
      <c r="F16" s="279"/>
      <c r="G16" s="279"/>
      <c r="H16" s="279"/>
      <c r="K16" s="383" t="s">
        <v>36</v>
      </c>
      <c r="L16" s="290" t="str">
        <f>Donnees_de_jeu!$C$6</f>
        <v>Scooter G1</v>
      </c>
      <c r="M16" s="59">
        <f>L10*40</f>
        <v>100000</v>
      </c>
      <c r="P16" s="282">
        <f>((Données_comptables!G5*Proj_inv!R12)+(Proj_inv!Q13*(Proj_inv!Q8+Données_comptables!G11)))/(Données_comptables!G5+Données_comptables!G11+Proj_inv!Q8)</f>
        <v>0.14352995831449952</v>
      </c>
    </row>
    <row r="17" spans="2:13" ht="13.5" thickBot="1">
      <c r="B17" s="11" t="s">
        <v>156</v>
      </c>
      <c r="C17" s="45">
        <f>C15+C16</f>
        <v>300000</v>
      </c>
      <c r="D17" s="45">
        <f t="shared" ref="D17:H17" si="8">D15+D16</f>
        <v>0</v>
      </c>
      <c r="E17" s="45">
        <f t="shared" si="8"/>
        <v>0</v>
      </c>
      <c r="F17" s="45">
        <f t="shared" si="8"/>
        <v>0</v>
      </c>
      <c r="G17" s="45">
        <f t="shared" si="8"/>
        <v>0</v>
      </c>
      <c r="H17" s="45">
        <f t="shared" si="8"/>
        <v>0</v>
      </c>
      <c r="K17" s="370"/>
      <c r="L17" s="272" t="str">
        <f>Donnees_de_jeu!$C$7</f>
        <v>Scooter G2</v>
      </c>
      <c r="M17" s="52">
        <f>L11*50</f>
        <v>0</v>
      </c>
    </row>
    <row r="18" spans="2:13" ht="13.5" thickTop="1">
      <c r="B18" s="16" t="s">
        <v>157</v>
      </c>
      <c r="C18" s="280">
        <f>C11</f>
        <v>0</v>
      </c>
      <c r="D18" s="280">
        <f t="shared" ref="D18:H18" si="9">D11</f>
        <v>273333.33333333337</v>
      </c>
      <c r="E18" s="280">
        <f t="shared" si="9"/>
        <v>273333.33333333337</v>
      </c>
      <c r="F18" s="280">
        <f t="shared" si="9"/>
        <v>273333.33333333337</v>
      </c>
      <c r="G18" s="280">
        <f t="shared" si="9"/>
        <v>273333.33333333337</v>
      </c>
      <c r="H18" s="280">
        <f t="shared" si="9"/>
        <v>273333.33333333337</v>
      </c>
      <c r="K18" s="370"/>
      <c r="L18" s="272" t="str">
        <f>Donnees_de_jeu!$C$8</f>
        <v>Scooter G3</v>
      </c>
      <c r="M18" s="52">
        <f>L12*80</f>
        <v>0</v>
      </c>
    </row>
    <row r="19" spans="2:13">
      <c r="B19" s="7" t="s">
        <v>158</v>
      </c>
      <c r="C19" s="281"/>
      <c r="D19" s="278"/>
      <c r="E19" s="278"/>
      <c r="F19" s="278"/>
      <c r="G19" s="278"/>
      <c r="H19" s="279"/>
      <c r="K19" s="370" t="s">
        <v>38</v>
      </c>
      <c r="L19" s="272" t="str">
        <f>Donnees_de_jeu!$C$6</f>
        <v>Scooter G1</v>
      </c>
      <c r="M19" s="52">
        <v>0</v>
      </c>
    </row>
    <row r="20" spans="2:13">
      <c r="B20" s="7" t="s">
        <v>159</v>
      </c>
      <c r="C20" s="35"/>
      <c r="D20" s="279"/>
      <c r="E20" s="279"/>
      <c r="F20" s="279"/>
      <c r="G20" s="279"/>
      <c r="H20" s="279">
        <f>SUM(C16:H16)</f>
        <v>0</v>
      </c>
      <c r="K20" s="370"/>
      <c r="L20" s="272" t="str">
        <f>Donnees_de_jeu!$C$7</f>
        <v>Scooter G2</v>
      </c>
      <c r="M20" s="52">
        <v>0</v>
      </c>
    </row>
    <row r="21" spans="2:13" ht="13.5" thickBot="1">
      <c r="B21" s="11" t="s">
        <v>160</v>
      </c>
      <c r="C21" s="45">
        <f>SUM(C18:C20)</f>
        <v>0</v>
      </c>
      <c r="D21" s="45">
        <f t="shared" ref="D21:H21" si="10">SUM(D18:D20)</f>
        <v>273333.33333333337</v>
      </c>
      <c r="E21" s="45">
        <f t="shared" si="10"/>
        <v>273333.33333333337</v>
      </c>
      <c r="F21" s="45">
        <f t="shared" si="10"/>
        <v>273333.33333333337</v>
      </c>
      <c r="G21" s="45">
        <f t="shared" si="10"/>
        <v>273333.33333333337</v>
      </c>
      <c r="H21" s="45">
        <f t="shared" si="10"/>
        <v>273333.33333333337</v>
      </c>
      <c r="K21" s="370"/>
      <c r="L21" s="272" t="str">
        <f>Donnees_de_jeu!$C$8</f>
        <v>Scooter G3</v>
      </c>
      <c r="M21" s="52">
        <v>0</v>
      </c>
    </row>
    <row r="22" spans="2:13" ht="13.5" customHeight="1" thickTop="1">
      <c r="B22" s="288" t="s">
        <v>390</v>
      </c>
      <c r="C22" s="289">
        <f>C21-C17</f>
        <v>-300000</v>
      </c>
      <c r="D22" s="289">
        <f t="shared" ref="D22:H22" si="11">D21-D17</f>
        <v>273333.33333333337</v>
      </c>
      <c r="E22" s="289">
        <f t="shared" si="11"/>
        <v>273333.33333333337</v>
      </c>
      <c r="F22" s="289">
        <f t="shared" si="11"/>
        <v>273333.33333333337</v>
      </c>
      <c r="G22" s="289">
        <f t="shared" si="11"/>
        <v>273333.33333333337</v>
      </c>
      <c r="H22" s="289">
        <f t="shared" si="11"/>
        <v>273333.33333333337</v>
      </c>
      <c r="K22" s="587" t="s">
        <v>40</v>
      </c>
      <c r="L22" s="272" t="str">
        <f>Donnees_de_jeu!$C$6</f>
        <v>Scooter G1</v>
      </c>
      <c r="M22" s="52">
        <v>0</v>
      </c>
    </row>
    <row r="23" spans="2:13">
      <c r="B23" s="30" t="s">
        <v>396</v>
      </c>
      <c r="C23" s="53">
        <f>C22</f>
        <v>-300000</v>
      </c>
      <c r="D23" s="53">
        <f>C23+D22</f>
        <v>-26666.666666666628</v>
      </c>
      <c r="E23" s="53">
        <f t="shared" ref="E23:H23" si="12">D23+E22</f>
        <v>246666.66666666674</v>
      </c>
      <c r="F23" s="53">
        <f t="shared" si="12"/>
        <v>520000.00000000012</v>
      </c>
      <c r="G23" s="53">
        <f t="shared" si="12"/>
        <v>793333.33333333349</v>
      </c>
      <c r="H23" s="53">
        <f t="shared" si="12"/>
        <v>1066666.666666667</v>
      </c>
      <c r="K23" s="588"/>
      <c r="L23" s="272" t="str">
        <f>Donnees_de_jeu!$C$7</f>
        <v>Scooter G2</v>
      </c>
      <c r="M23" s="52">
        <v>0</v>
      </c>
    </row>
    <row r="24" spans="2:13">
      <c r="K24" s="589"/>
      <c r="L24" s="272" t="str">
        <f>Donnees_de_jeu!$C$8</f>
        <v>Scooter G3</v>
      </c>
      <c r="M24" s="52">
        <v>0</v>
      </c>
    </row>
    <row r="25" spans="2:13">
      <c r="B25" s="28" t="s">
        <v>59</v>
      </c>
      <c r="C25" s="28">
        <v>0</v>
      </c>
      <c r="D25" s="23">
        <v>1</v>
      </c>
      <c r="E25" s="28">
        <v>2</v>
      </c>
      <c r="F25" s="23">
        <v>3</v>
      </c>
      <c r="G25" s="28">
        <v>4</v>
      </c>
      <c r="H25" s="23">
        <v>5</v>
      </c>
      <c r="K25" s="370" t="s">
        <v>41</v>
      </c>
      <c r="L25" s="272" t="str">
        <f>Donnees_de_jeu!$C$6</f>
        <v>Scooter G1</v>
      </c>
      <c r="M25" s="52">
        <v>50000</v>
      </c>
    </row>
    <row r="26" spans="2:13">
      <c r="B26" s="285" t="s">
        <v>389</v>
      </c>
      <c r="C26" s="286">
        <f>C22/(1+$P$16)^C25</f>
        <v>-300000</v>
      </c>
      <c r="D26" s="286">
        <f t="shared" ref="D26:H26" si="13">D22/(1+$P$16)^D25</f>
        <v>239025.94885770348</v>
      </c>
      <c r="E26" s="286">
        <f t="shared" si="13"/>
        <v>209024.64961216639</v>
      </c>
      <c r="F26" s="286">
        <f t="shared" si="13"/>
        <v>182788.95807876976</v>
      </c>
      <c r="G26" s="286">
        <f t="shared" si="13"/>
        <v>159846.23467861803</v>
      </c>
      <c r="H26" s="286">
        <f t="shared" si="13"/>
        <v>139783.16310507737</v>
      </c>
      <c r="K26" s="370"/>
      <c r="L26" s="272" t="str">
        <f>Donnees_de_jeu!$C$7</f>
        <v>Scooter G2</v>
      </c>
      <c r="M26" s="52">
        <v>0</v>
      </c>
    </row>
    <row r="27" spans="2:13">
      <c r="K27" s="370"/>
      <c r="L27" s="272" t="str">
        <f>Donnees_de_jeu!$C$8</f>
        <v>Scooter G3</v>
      </c>
      <c r="M27" s="52">
        <v>0</v>
      </c>
    </row>
    <row r="28" spans="2:13">
      <c r="B28" s="28" t="s">
        <v>392</v>
      </c>
      <c r="C28" s="193">
        <f>SUM(C26:H26)</f>
        <v>630468.95433233504</v>
      </c>
      <c r="K28" s="370" t="s">
        <v>42</v>
      </c>
      <c r="L28" s="272" t="str">
        <f>Donnees_de_jeu!$C$6</f>
        <v>Scooter G1</v>
      </c>
      <c r="M28" s="52">
        <v>45000</v>
      </c>
    </row>
    <row r="29" spans="2:13">
      <c r="B29" s="28" t="s">
        <v>393</v>
      </c>
      <c r="C29" s="287">
        <f>IRR(C22:H22)</f>
        <v>0.87141777596797887</v>
      </c>
      <c r="K29" s="370"/>
      <c r="L29" s="272" t="str">
        <f>Donnees_de_jeu!$C$7</f>
        <v>Scooter G2</v>
      </c>
      <c r="M29" s="52">
        <v>0</v>
      </c>
    </row>
    <row r="30" spans="2:13">
      <c r="B30" s="28" t="s">
        <v>394</v>
      </c>
      <c r="C30" s="28">
        <f>IF(D23&gt;0,D14,IF(E23&gt;0,E14,IF(F23&gt;0,F14,IF(G23&gt;0,G14,IF(H23&gt;0,H14)))))</f>
        <v>2024</v>
      </c>
      <c r="K30" s="370"/>
      <c r="L30" s="272" t="str">
        <f>Donnees_de_jeu!$C$8</f>
        <v>Scooter G3</v>
      </c>
      <c r="M30" s="52">
        <v>0</v>
      </c>
    </row>
    <row r="31" spans="2:13">
      <c r="B31" s="28" t="s">
        <v>395</v>
      </c>
      <c r="C31" s="294">
        <f>C28/C15</f>
        <v>2.1015631811077835</v>
      </c>
      <c r="K31" s="183" t="s">
        <v>45</v>
      </c>
      <c r="L31" s="291"/>
      <c r="M31" s="52">
        <v>300000</v>
      </c>
    </row>
    <row r="32" spans="2:13">
      <c r="K32" s="586" t="s">
        <v>31</v>
      </c>
      <c r="L32" s="442"/>
      <c r="M32" s="49">
        <f>SUM(M16:M31)</f>
        <v>495000</v>
      </c>
    </row>
  </sheetData>
  <mergeCells count="11">
    <mergeCell ref="B2:H2"/>
    <mergeCell ref="B13:H13"/>
    <mergeCell ref="K16:K18"/>
    <mergeCell ref="K32:L32"/>
    <mergeCell ref="K15:M15"/>
    <mergeCell ref="K28:K30"/>
    <mergeCell ref="P6:Q6"/>
    <mergeCell ref="P11:Q11"/>
    <mergeCell ref="K22:K24"/>
    <mergeCell ref="K19:K21"/>
    <mergeCell ref="K25:K27"/>
  </mergeCells>
  <pageMargins left="0" right="0" top="0.39370078740157505" bottom="0.39370078740157505" header="0" footer="0"/>
  <headerFooter>
    <oddHeader>&amp;C&amp;A</oddHeader>
    <oddFooter>&amp;CPage &amp;P</oddFooter>
  </headerFooter>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theme="6"/>
  </sheetPr>
  <dimension ref="B2:M70"/>
  <sheetViews>
    <sheetView workbookViewId="0">
      <selection activeCell="E23" sqref="E23:E24"/>
    </sheetView>
  </sheetViews>
  <sheetFormatPr baseColWidth="10" defaultRowHeight="12.75"/>
  <cols>
    <col min="1" max="1" width="12.140625" customWidth="1"/>
    <col min="2" max="2" width="34.140625" style="14" customWidth="1"/>
    <col min="3" max="3" width="27.28515625" style="14" customWidth="1"/>
    <col min="4" max="5" width="34.140625" style="14" customWidth="1"/>
  </cols>
  <sheetData>
    <row r="2" spans="2:13">
      <c r="B2" s="604" t="s">
        <v>99</v>
      </c>
      <c r="C2" s="604"/>
      <c r="D2" s="604"/>
      <c r="E2" s="604"/>
      <c r="F2" s="594"/>
      <c r="G2" s="595"/>
      <c r="H2" s="595"/>
      <c r="I2" s="595"/>
      <c r="J2" s="595"/>
      <c r="K2" s="595"/>
      <c r="L2" s="595"/>
      <c r="M2" s="595"/>
    </row>
    <row r="3" spans="2:13">
      <c r="B3" s="465" t="s">
        <v>0</v>
      </c>
      <c r="C3" s="465"/>
      <c r="D3" s="605">
        <f>Donnees_de_jeu!E6</f>
        <v>2023</v>
      </c>
      <c r="E3" s="605"/>
      <c r="F3" s="129">
        <f>Donnees_de_jeu!B3</f>
        <v>2023</v>
      </c>
      <c r="G3" s="129">
        <f>Donnees_de_jeu!C3</f>
        <v>2024</v>
      </c>
      <c r="H3" s="129">
        <f>Donnees_de_jeu!D3</f>
        <v>2025</v>
      </c>
      <c r="I3" s="129">
        <f>Donnees_de_jeu!E3</f>
        <v>2026</v>
      </c>
      <c r="J3" s="129">
        <f>Donnees_de_jeu!F3</f>
        <v>2027</v>
      </c>
      <c r="K3" s="129">
        <f>Donnees_de_jeu!G3</f>
        <v>2028</v>
      </c>
      <c r="L3" s="129">
        <f>Donnees_de_jeu!H3</f>
        <v>2029</v>
      </c>
      <c r="M3" s="129">
        <f>Donnees_de_jeu!I3</f>
        <v>2030</v>
      </c>
    </row>
    <row r="4" spans="2:13">
      <c r="B4" s="131" t="s">
        <v>272</v>
      </c>
      <c r="C4" s="132"/>
      <c r="D4" s="132"/>
      <c r="E4" s="132"/>
      <c r="F4" s="132"/>
      <c r="G4" s="132"/>
      <c r="H4" s="132"/>
      <c r="I4" s="132"/>
      <c r="J4" s="132"/>
      <c r="K4" s="132"/>
      <c r="L4" s="132"/>
      <c r="M4" s="132"/>
    </row>
    <row r="5" spans="2:13">
      <c r="B5" s="423" t="s">
        <v>273</v>
      </c>
      <c r="C5" s="28" t="str">
        <f>CONCATENATE("CA_",D3,"-CA_",D3-1)</f>
        <v>CA_2023-CA_2022</v>
      </c>
      <c r="D5" s="216">
        <f>Données_comptables!H26-SUM(Données_commerciales!K3:K5)</f>
        <v>705250</v>
      </c>
      <c r="E5" s="610" t="e">
        <f>D5/D6</f>
        <v>#DIV/0!</v>
      </c>
      <c r="F5" s="596"/>
      <c r="G5" s="598"/>
      <c r="H5" s="598"/>
      <c r="I5" s="598"/>
      <c r="J5" s="598"/>
      <c r="K5" s="598"/>
      <c r="L5" s="598"/>
      <c r="M5" s="598"/>
    </row>
    <row r="6" spans="2:13" ht="22.9" customHeight="1">
      <c r="B6" s="423"/>
      <c r="C6" s="28" t="str">
        <f>CONCATENATE("CA_",D3-1)</f>
        <v>CA_2022</v>
      </c>
      <c r="D6" s="216">
        <f>SUM(Données_commerciales!K3:K5)</f>
        <v>0</v>
      </c>
      <c r="E6" s="610"/>
      <c r="F6" s="597"/>
      <c r="G6" s="599"/>
      <c r="H6" s="599"/>
      <c r="I6" s="599"/>
      <c r="J6" s="599"/>
      <c r="K6" s="599"/>
      <c r="L6" s="599"/>
      <c r="M6" s="599"/>
    </row>
    <row r="7" spans="2:13" ht="25.5" customHeight="1">
      <c r="B7" s="423" t="s">
        <v>100</v>
      </c>
      <c r="C7" s="28" t="str">
        <f>CONCATENATE("VA_",D3,"-VA_",D3-1)</f>
        <v>VA_2023-VA_2022</v>
      </c>
      <c r="D7" s="216">
        <f>SIG!G8-SIG!H8</f>
        <v>483042</v>
      </c>
      <c r="E7" s="610" t="e">
        <f t="shared" ref="E7" si="0">D7/D8</f>
        <v>#DIV/0!</v>
      </c>
      <c r="F7" s="596"/>
      <c r="G7" s="598"/>
      <c r="H7" s="598"/>
      <c r="I7" s="598"/>
      <c r="J7" s="598"/>
      <c r="K7" s="598"/>
      <c r="L7" s="598"/>
      <c r="M7" s="598"/>
    </row>
    <row r="8" spans="2:13">
      <c r="B8" s="423"/>
      <c r="C8" s="28" t="str">
        <f>CONCATENATE("VA_",D3-1)</f>
        <v>VA_2022</v>
      </c>
      <c r="D8" s="216">
        <f>SIG!H8</f>
        <v>0</v>
      </c>
      <c r="E8" s="610"/>
      <c r="F8" s="597"/>
      <c r="G8" s="599"/>
      <c r="H8" s="599"/>
      <c r="I8" s="599"/>
      <c r="J8" s="599"/>
      <c r="K8" s="599"/>
      <c r="L8" s="599"/>
      <c r="M8" s="599"/>
    </row>
    <row r="9" spans="2:13">
      <c r="B9" s="423" t="s">
        <v>274</v>
      </c>
      <c r="C9" s="28" t="str">
        <f>CONCATENATE("EBE_",D3,"-EBE_",D3-1)</f>
        <v>EBE_2023-EBE_2022</v>
      </c>
      <c r="D9" s="216">
        <f>SIG!G11-SIG!H11</f>
        <v>294342</v>
      </c>
      <c r="E9" s="610" t="e">
        <f t="shared" ref="E9" si="1">D9/D10</f>
        <v>#DIV/0!</v>
      </c>
      <c r="F9" s="596"/>
      <c r="G9" s="598"/>
      <c r="H9" s="598"/>
      <c r="I9" s="598"/>
      <c r="J9" s="598"/>
      <c r="K9" s="598"/>
      <c r="L9" s="598"/>
      <c r="M9" s="598"/>
    </row>
    <row r="10" spans="2:13">
      <c r="B10" s="423"/>
      <c r="C10" s="28" t="str">
        <f>CONCATENATE("EBE_",D3-1)</f>
        <v>EBE_2022</v>
      </c>
      <c r="D10" s="95">
        <f>SIG!H11</f>
        <v>0</v>
      </c>
      <c r="E10" s="610"/>
      <c r="F10" s="597"/>
      <c r="G10" s="599"/>
      <c r="H10" s="599"/>
      <c r="I10" s="599"/>
      <c r="J10" s="599"/>
      <c r="K10" s="599"/>
      <c r="L10" s="599"/>
      <c r="M10" s="599"/>
    </row>
    <row r="11" spans="2:13">
      <c r="B11" s="133"/>
      <c r="C11" s="133"/>
      <c r="D11" s="133"/>
      <c r="E11" s="266"/>
      <c r="F11" s="133"/>
      <c r="G11" s="133"/>
      <c r="H11" s="133"/>
      <c r="I11" s="133"/>
      <c r="J11" s="133"/>
      <c r="K11" s="133"/>
      <c r="L11" s="133"/>
      <c r="M11" s="133"/>
    </row>
    <row r="12" spans="2:13" ht="25.5">
      <c r="B12" s="131" t="s">
        <v>275</v>
      </c>
      <c r="C12" s="132"/>
      <c r="D12" s="132"/>
      <c r="E12" s="267"/>
      <c r="F12" s="132"/>
      <c r="G12" s="132"/>
      <c r="H12" s="132"/>
      <c r="I12" s="132"/>
      <c r="J12" s="132"/>
      <c r="K12" s="132"/>
      <c r="L12" s="132"/>
      <c r="M12" s="132"/>
    </row>
    <row r="13" spans="2:13">
      <c r="B13" s="423" t="s">
        <v>276</v>
      </c>
      <c r="C13" s="28" t="s">
        <v>283</v>
      </c>
      <c r="D13" s="216">
        <f>SIG!E11</f>
        <v>0</v>
      </c>
      <c r="E13" s="610">
        <f t="shared" ref="E13" si="2">D13/D14</f>
        <v>0</v>
      </c>
      <c r="F13" s="596"/>
      <c r="G13" s="598"/>
      <c r="H13" s="598"/>
      <c r="I13" s="598"/>
      <c r="J13" s="598"/>
      <c r="K13" s="598"/>
      <c r="L13" s="598"/>
      <c r="M13" s="598"/>
    </row>
    <row r="14" spans="2:13">
      <c r="B14" s="423"/>
      <c r="C14" s="28" t="s">
        <v>284</v>
      </c>
      <c r="D14" s="216">
        <f>SIG!$G$8</f>
        <v>483042</v>
      </c>
      <c r="E14" s="610"/>
      <c r="F14" s="597"/>
      <c r="G14" s="599"/>
      <c r="H14" s="599"/>
      <c r="I14" s="599"/>
      <c r="J14" s="599"/>
      <c r="K14" s="599"/>
      <c r="L14" s="599"/>
      <c r="M14" s="599"/>
    </row>
    <row r="15" spans="2:13">
      <c r="B15" s="423" t="s">
        <v>101</v>
      </c>
      <c r="C15" s="28" t="s">
        <v>123</v>
      </c>
      <c r="D15" s="216">
        <f>SIG!E12</f>
        <v>188700</v>
      </c>
      <c r="E15" s="610">
        <f t="shared" ref="E15" si="3">D15/D16</f>
        <v>0.39064926031276781</v>
      </c>
      <c r="F15" s="596"/>
      <c r="G15" s="598"/>
      <c r="H15" s="598"/>
      <c r="I15" s="598"/>
      <c r="J15" s="598"/>
      <c r="K15" s="598"/>
      <c r="L15" s="598"/>
      <c r="M15" s="598"/>
    </row>
    <row r="16" spans="2:13">
      <c r="B16" s="423"/>
      <c r="C16" s="28" t="s">
        <v>284</v>
      </c>
      <c r="D16" s="216">
        <f>SIG!$G$8</f>
        <v>483042</v>
      </c>
      <c r="E16" s="610"/>
      <c r="F16" s="597"/>
      <c r="G16" s="599"/>
      <c r="H16" s="599"/>
      <c r="I16" s="599"/>
      <c r="J16" s="599"/>
      <c r="K16" s="599"/>
      <c r="L16" s="599"/>
      <c r="M16" s="599"/>
    </row>
    <row r="17" spans="2:13">
      <c r="B17" s="423" t="s">
        <v>102</v>
      </c>
      <c r="C17" s="28" t="s">
        <v>297</v>
      </c>
      <c r="D17" s="216">
        <f>SIG!E20</f>
        <v>927</v>
      </c>
      <c r="E17" s="610">
        <f t="shared" ref="E17" si="4">D17/D18</f>
        <v>1.9190877811867291E-3</v>
      </c>
      <c r="F17" s="596"/>
      <c r="G17" s="598"/>
      <c r="H17" s="598"/>
      <c r="I17" s="598"/>
      <c r="J17" s="598"/>
      <c r="K17" s="598"/>
      <c r="L17" s="598"/>
      <c r="M17" s="598"/>
    </row>
    <row r="18" spans="2:13">
      <c r="B18" s="423"/>
      <c r="C18" s="28" t="s">
        <v>284</v>
      </c>
      <c r="D18" s="216">
        <f>SIG!$G$8</f>
        <v>483042</v>
      </c>
      <c r="E18" s="610"/>
      <c r="F18" s="597"/>
      <c r="G18" s="599"/>
      <c r="H18" s="599"/>
      <c r="I18" s="599"/>
      <c r="J18" s="599"/>
      <c r="K18" s="599"/>
      <c r="L18" s="599"/>
      <c r="M18" s="599"/>
    </row>
    <row r="19" spans="2:13">
      <c r="B19" s="423" t="s">
        <v>277</v>
      </c>
      <c r="C19" s="28" t="s">
        <v>298</v>
      </c>
      <c r="D19" s="216">
        <f>'(C)AF'!G23</f>
        <v>174313</v>
      </c>
      <c r="E19" s="610">
        <f t="shared" ref="E19" si="5">D19/D20</f>
        <v>0.36086510075728406</v>
      </c>
      <c r="F19" s="596"/>
      <c r="G19" s="598"/>
      <c r="H19" s="598"/>
      <c r="I19" s="598"/>
      <c r="J19" s="598"/>
      <c r="K19" s="598"/>
      <c r="L19" s="598"/>
      <c r="M19" s="598"/>
    </row>
    <row r="20" spans="2:13">
      <c r="B20" s="423"/>
      <c r="C20" s="28" t="s">
        <v>284</v>
      </c>
      <c r="D20" s="216">
        <f>SIG!$G$8</f>
        <v>483042</v>
      </c>
      <c r="E20" s="610"/>
      <c r="F20" s="597"/>
      <c r="G20" s="599"/>
      <c r="H20" s="599"/>
      <c r="I20" s="599"/>
      <c r="J20" s="599"/>
      <c r="K20" s="599"/>
      <c r="L20" s="599"/>
      <c r="M20" s="599"/>
    </row>
    <row r="21" spans="2:13">
      <c r="B21" s="133"/>
      <c r="C21" s="133"/>
      <c r="D21" s="133"/>
      <c r="E21" s="133"/>
      <c r="F21" s="133"/>
      <c r="G21" s="133"/>
      <c r="H21" s="133"/>
      <c r="I21" s="133"/>
      <c r="J21" s="133"/>
      <c r="K21" s="133"/>
      <c r="L21" s="133"/>
      <c r="M21" s="133"/>
    </row>
    <row r="22" spans="2:13" ht="25.5">
      <c r="B22" s="131" t="s">
        <v>103</v>
      </c>
      <c r="C22" s="132"/>
      <c r="D22" s="132"/>
      <c r="E22" s="132"/>
      <c r="F22" s="132"/>
      <c r="G22" s="132"/>
      <c r="H22" s="132"/>
      <c r="I22" s="132"/>
      <c r="J22" s="132"/>
      <c r="K22" s="132"/>
      <c r="L22" s="132"/>
      <c r="M22" s="132"/>
    </row>
    <row r="23" spans="2:13">
      <c r="B23" s="423" t="s">
        <v>104</v>
      </c>
      <c r="C23" s="28" t="s">
        <v>284</v>
      </c>
      <c r="D23" s="216">
        <f>SIG!$G$8</f>
        <v>483042</v>
      </c>
      <c r="E23" s="611">
        <f>D23/D24</f>
        <v>5682.8470588235296</v>
      </c>
      <c r="F23" s="600"/>
      <c r="G23" s="602"/>
      <c r="H23" s="602"/>
      <c r="I23" s="602"/>
      <c r="J23" s="602"/>
      <c r="K23" s="602"/>
      <c r="L23" s="602"/>
      <c r="M23" s="602"/>
    </row>
    <row r="24" spans="2:13">
      <c r="B24" s="423"/>
      <c r="C24" s="28" t="s">
        <v>291</v>
      </c>
      <c r="D24" s="217">
        <f>Données_RH!G3</f>
        <v>85</v>
      </c>
      <c r="E24" s="611"/>
      <c r="F24" s="601"/>
      <c r="G24" s="603"/>
      <c r="H24" s="603"/>
      <c r="I24" s="603"/>
      <c r="J24" s="603"/>
      <c r="K24" s="603"/>
      <c r="L24" s="603"/>
      <c r="M24" s="603"/>
    </row>
    <row r="25" spans="2:13">
      <c r="B25" s="133"/>
      <c r="C25" s="133"/>
      <c r="D25" s="133"/>
      <c r="E25" s="133"/>
      <c r="F25" s="133"/>
      <c r="G25" s="133"/>
      <c r="H25" s="133"/>
      <c r="I25" s="133"/>
      <c r="J25" s="133"/>
      <c r="K25" s="133"/>
      <c r="L25" s="133"/>
      <c r="M25" s="133"/>
    </row>
    <row r="26" spans="2:13">
      <c r="B26" s="132" t="s">
        <v>107</v>
      </c>
      <c r="C26" s="132"/>
      <c r="D26" s="132"/>
      <c r="E26" s="132"/>
      <c r="F26" s="132"/>
      <c r="G26" s="132"/>
      <c r="H26" s="132"/>
      <c r="I26" s="132"/>
      <c r="J26" s="132"/>
      <c r="K26" s="132"/>
      <c r="L26" s="132"/>
      <c r="M26" s="132"/>
    </row>
    <row r="27" spans="2:13">
      <c r="B27" s="423" t="s">
        <v>108</v>
      </c>
      <c r="C27" s="28" t="s">
        <v>117</v>
      </c>
      <c r="D27" s="193">
        <f>SIG!G3</f>
        <v>0</v>
      </c>
      <c r="E27" s="610">
        <f t="shared" ref="E27" si="6">D27/D28</f>
        <v>0</v>
      </c>
      <c r="F27" s="596"/>
      <c r="G27" s="598"/>
      <c r="H27" s="598"/>
      <c r="I27" s="598"/>
      <c r="J27" s="598"/>
      <c r="K27" s="598"/>
      <c r="L27" s="598"/>
      <c r="M27" s="598"/>
    </row>
    <row r="28" spans="2:13">
      <c r="B28" s="423"/>
      <c r="C28" s="28" t="s">
        <v>221</v>
      </c>
      <c r="D28" s="193">
        <f>Coûts_partiels!$G$6</f>
        <v>705250</v>
      </c>
      <c r="E28" s="610"/>
      <c r="F28" s="597"/>
      <c r="G28" s="599"/>
      <c r="H28" s="599"/>
      <c r="I28" s="599"/>
      <c r="J28" s="599"/>
      <c r="K28" s="599"/>
      <c r="L28" s="599"/>
      <c r="M28" s="599"/>
    </row>
    <row r="29" spans="2:13">
      <c r="B29" s="423" t="s">
        <v>285</v>
      </c>
      <c r="C29" s="28" t="s">
        <v>122</v>
      </c>
      <c r="D29" s="216">
        <f>SIG!$G$8</f>
        <v>483042</v>
      </c>
      <c r="E29" s="610">
        <f t="shared" ref="E29" si="7">D29/D30</f>
        <v>0.68492307692307697</v>
      </c>
      <c r="F29" s="596"/>
      <c r="G29" s="598"/>
      <c r="H29" s="598"/>
      <c r="I29" s="598"/>
      <c r="J29" s="598"/>
      <c r="K29" s="598"/>
      <c r="L29" s="598"/>
      <c r="M29" s="598"/>
    </row>
    <row r="30" spans="2:13">
      <c r="B30" s="423"/>
      <c r="C30" s="28" t="s">
        <v>221</v>
      </c>
      <c r="D30" s="193">
        <f>Coûts_partiels!$G$6</f>
        <v>705250</v>
      </c>
      <c r="E30" s="610"/>
      <c r="F30" s="597"/>
      <c r="G30" s="599"/>
      <c r="H30" s="599"/>
      <c r="I30" s="599"/>
      <c r="J30" s="599"/>
      <c r="K30" s="599"/>
      <c r="L30" s="599"/>
      <c r="M30" s="599"/>
    </row>
    <row r="31" spans="2:13">
      <c r="B31" s="423" t="s">
        <v>286</v>
      </c>
      <c r="C31" s="28" t="s">
        <v>205</v>
      </c>
      <c r="D31" s="193">
        <f>SIG!G11</f>
        <v>294342</v>
      </c>
      <c r="E31" s="610">
        <f t="shared" ref="E31" si="8">D31/D32</f>
        <v>0.41735838355193194</v>
      </c>
      <c r="F31" s="596"/>
      <c r="G31" s="598"/>
      <c r="H31" s="598"/>
      <c r="I31" s="598"/>
      <c r="J31" s="598"/>
      <c r="K31" s="598"/>
      <c r="L31" s="598"/>
      <c r="M31" s="598"/>
    </row>
    <row r="32" spans="2:13">
      <c r="B32" s="423"/>
      <c r="C32" s="28" t="s">
        <v>221</v>
      </c>
      <c r="D32" s="193">
        <f>Coûts_partiels!$G$6</f>
        <v>705250</v>
      </c>
      <c r="E32" s="610"/>
      <c r="F32" s="597"/>
      <c r="G32" s="599"/>
      <c r="H32" s="599"/>
      <c r="I32" s="599"/>
      <c r="J32" s="599"/>
      <c r="K32" s="599"/>
      <c r="L32" s="599"/>
      <c r="M32" s="599"/>
    </row>
    <row r="33" spans="2:13">
      <c r="B33" s="423" t="s">
        <v>287</v>
      </c>
      <c r="C33" s="28" t="s">
        <v>124</v>
      </c>
      <c r="D33" s="193">
        <f>SIG!G14</f>
        <v>134342</v>
      </c>
      <c r="E33" s="610">
        <f t="shared" ref="E33" si="9">D33/D34</f>
        <v>0.19048847926267282</v>
      </c>
      <c r="F33" s="596"/>
      <c r="G33" s="598"/>
      <c r="H33" s="598"/>
      <c r="I33" s="598"/>
      <c r="J33" s="598"/>
      <c r="K33" s="598"/>
      <c r="L33" s="598"/>
      <c r="M33" s="598"/>
    </row>
    <row r="34" spans="2:13">
      <c r="B34" s="423"/>
      <c r="C34" s="28" t="s">
        <v>221</v>
      </c>
      <c r="D34" s="193">
        <f>Coûts_partiels!$G$6</f>
        <v>705250</v>
      </c>
      <c r="E34" s="610"/>
      <c r="F34" s="597"/>
      <c r="G34" s="599"/>
      <c r="H34" s="599"/>
      <c r="I34" s="599"/>
      <c r="J34" s="599"/>
      <c r="K34" s="599"/>
      <c r="L34" s="599"/>
      <c r="M34" s="599"/>
    </row>
    <row r="35" spans="2:13">
      <c r="B35" s="423" t="s">
        <v>109</v>
      </c>
      <c r="C35" s="28" t="s">
        <v>267</v>
      </c>
      <c r="D35" s="193">
        <f>SIG!G18</f>
        <v>133415</v>
      </c>
      <c r="E35" s="610">
        <f t="shared" ref="E35" si="10">D35/D36</f>
        <v>0.18917405175469693</v>
      </c>
      <c r="F35" s="596"/>
      <c r="G35" s="598"/>
      <c r="H35" s="598"/>
      <c r="I35" s="598"/>
      <c r="J35" s="598"/>
      <c r="K35" s="598"/>
      <c r="L35" s="598"/>
      <c r="M35" s="598"/>
    </row>
    <row r="36" spans="2:13">
      <c r="B36" s="423"/>
      <c r="C36" s="28" t="s">
        <v>221</v>
      </c>
      <c r="D36" s="193">
        <f>Coûts_partiels!$G$6</f>
        <v>705250</v>
      </c>
      <c r="E36" s="610"/>
      <c r="F36" s="597"/>
      <c r="G36" s="599"/>
      <c r="H36" s="599"/>
      <c r="I36" s="599"/>
      <c r="J36" s="599"/>
      <c r="K36" s="599"/>
      <c r="L36" s="599"/>
      <c r="M36" s="599"/>
    </row>
    <row r="37" spans="2:13">
      <c r="B37" s="423" t="s">
        <v>110</v>
      </c>
      <c r="C37" s="28" t="s">
        <v>210</v>
      </c>
      <c r="D37" s="193">
        <f>SIG!G23</f>
        <v>114313</v>
      </c>
      <c r="E37" s="610">
        <f t="shared" ref="E37" si="11">D37/D38</f>
        <v>0.16208862105636299</v>
      </c>
      <c r="F37" s="596"/>
      <c r="G37" s="598"/>
      <c r="H37" s="598"/>
      <c r="I37" s="598"/>
      <c r="J37" s="598"/>
      <c r="K37" s="598"/>
      <c r="L37" s="598"/>
      <c r="M37" s="598"/>
    </row>
    <row r="38" spans="2:13">
      <c r="B38" s="423"/>
      <c r="C38" s="28" t="s">
        <v>221</v>
      </c>
      <c r="D38" s="193">
        <f>Coûts_partiels!$G$6</f>
        <v>705250</v>
      </c>
      <c r="E38" s="610"/>
      <c r="F38" s="597"/>
      <c r="G38" s="599"/>
      <c r="H38" s="599"/>
      <c r="I38" s="599"/>
      <c r="J38" s="599"/>
      <c r="K38" s="599"/>
      <c r="L38" s="599"/>
      <c r="M38" s="599"/>
    </row>
    <row r="39" spans="2:13">
      <c r="B39" s="604" t="s">
        <v>278</v>
      </c>
      <c r="C39" s="604"/>
      <c r="D39" s="604"/>
      <c r="E39" s="604"/>
      <c r="F39" s="130"/>
      <c r="G39" s="130"/>
      <c r="H39" s="130"/>
      <c r="I39" s="130"/>
      <c r="J39" s="130"/>
      <c r="K39" s="130"/>
      <c r="L39" s="130"/>
      <c r="M39" s="130"/>
    </row>
    <row r="40" spans="2:13">
      <c r="B40" s="132" t="s">
        <v>279</v>
      </c>
      <c r="C40" s="132"/>
      <c r="D40" s="132"/>
      <c r="E40" s="132"/>
      <c r="F40" s="132"/>
      <c r="G40" s="132"/>
      <c r="H40" s="132"/>
      <c r="I40" s="132"/>
      <c r="J40" s="132"/>
      <c r="K40" s="132"/>
      <c r="L40" s="132"/>
      <c r="M40" s="132"/>
    </row>
    <row r="41" spans="2:13">
      <c r="B41" s="423" t="s">
        <v>288</v>
      </c>
      <c r="C41" s="28" t="s">
        <v>238</v>
      </c>
      <c r="D41" s="193">
        <f>IF('(C)AF'!E38="Ok",'(C)AF'!D18-'(C)AF'!C18,"La CAF a mal été calculée")</f>
        <v>174313</v>
      </c>
      <c r="E41" s="610">
        <f>D41/D42</f>
        <v>0.24716483516483517</v>
      </c>
      <c r="F41" s="596"/>
      <c r="G41" s="598"/>
      <c r="H41" s="598"/>
      <c r="I41" s="598"/>
      <c r="J41" s="598"/>
      <c r="K41" s="598"/>
      <c r="L41" s="598"/>
      <c r="M41" s="598"/>
    </row>
    <row r="42" spans="2:13">
      <c r="B42" s="423"/>
      <c r="C42" s="28" t="s">
        <v>221</v>
      </c>
      <c r="D42" s="193">
        <f>Coûts_partiels!$G$6</f>
        <v>705250</v>
      </c>
      <c r="E42" s="610"/>
      <c r="F42" s="597"/>
      <c r="G42" s="599"/>
      <c r="H42" s="599"/>
      <c r="I42" s="599"/>
      <c r="J42" s="599"/>
      <c r="K42" s="599"/>
      <c r="L42" s="599"/>
      <c r="M42" s="599"/>
    </row>
    <row r="43" spans="2:13">
      <c r="B43" s="132" t="s">
        <v>111</v>
      </c>
      <c r="C43" s="132"/>
      <c r="D43" s="132"/>
      <c r="E43" s="267"/>
      <c r="F43" s="132"/>
      <c r="G43" s="132"/>
      <c r="H43" s="132"/>
      <c r="I43" s="132"/>
      <c r="J43" s="132"/>
      <c r="K43" s="132"/>
      <c r="L43" s="132"/>
      <c r="M43" s="132"/>
    </row>
    <row r="44" spans="2:13">
      <c r="B44" s="423" t="s">
        <v>111</v>
      </c>
      <c r="C44" s="28" t="s">
        <v>299</v>
      </c>
      <c r="D44" s="193">
        <f>Bilan_fonc!F7+Bilan_fonc!F20</f>
        <v>927</v>
      </c>
      <c r="E44" s="610">
        <f>D44/D45</f>
        <v>5.3180198837722943E-3</v>
      </c>
      <c r="F44" s="600"/>
      <c r="G44" s="602"/>
      <c r="H44" s="602"/>
      <c r="I44" s="602"/>
      <c r="J44" s="602"/>
      <c r="K44" s="602"/>
      <c r="L44" s="602"/>
      <c r="M44" s="602"/>
    </row>
    <row r="45" spans="2:13">
      <c r="B45" s="423"/>
      <c r="C45" s="28" t="s">
        <v>238</v>
      </c>
      <c r="D45" s="50">
        <f>IF('(C)AF'!E38="Ok",'(C)AF'!D18-'(C)AF'!C18,"La CAF a mal été calculée")</f>
        <v>174313</v>
      </c>
      <c r="E45" s="610"/>
      <c r="F45" s="601"/>
      <c r="G45" s="603"/>
      <c r="H45" s="603"/>
      <c r="I45" s="603"/>
      <c r="J45" s="603"/>
      <c r="K45" s="603"/>
      <c r="L45" s="603"/>
      <c r="M45" s="603"/>
    </row>
    <row r="46" spans="2:13">
      <c r="B46" s="604" t="s">
        <v>280</v>
      </c>
      <c r="C46" s="604"/>
      <c r="D46" s="604"/>
      <c r="E46" s="604"/>
      <c r="F46" s="130"/>
      <c r="G46" s="130"/>
      <c r="H46" s="130"/>
      <c r="I46" s="130"/>
      <c r="J46" s="130"/>
      <c r="K46" s="130"/>
      <c r="L46" s="130"/>
      <c r="M46" s="130"/>
    </row>
    <row r="47" spans="2:13">
      <c r="B47" s="132" t="s">
        <v>112</v>
      </c>
      <c r="C47" s="132"/>
      <c r="D47" s="132"/>
      <c r="E47" s="132"/>
      <c r="F47" s="132"/>
      <c r="G47" s="132"/>
      <c r="H47" s="132"/>
      <c r="I47" s="132"/>
      <c r="J47" s="132"/>
      <c r="K47" s="132"/>
      <c r="L47" s="132"/>
      <c r="M47" s="132"/>
    </row>
    <row r="48" spans="2:13">
      <c r="B48" s="423" t="s">
        <v>289</v>
      </c>
      <c r="C48" s="28" t="s">
        <v>300</v>
      </c>
      <c r="D48" s="193">
        <f>Bilan_fonc!D4</f>
        <v>300000</v>
      </c>
      <c r="E48" s="610">
        <f t="shared" ref="E48" si="12">D48/D49</f>
        <v>0.52793757666093566</v>
      </c>
      <c r="F48" s="596"/>
      <c r="G48" s="598"/>
      <c r="H48" s="598"/>
      <c r="I48" s="598"/>
      <c r="J48" s="598"/>
      <c r="K48" s="598"/>
      <c r="L48" s="598"/>
      <c r="M48" s="598"/>
    </row>
    <row r="49" spans="2:13">
      <c r="B49" s="423"/>
      <c r="C49" s="28" t="s">
        <v>301</v>
      </c>
      <c r="D49" s="193">
        <f>Bilan_fonc!D21</f>
        <v>568249</v>
      </c>
      <c r="E49" s="610"/>
      <c r="F49" s="597"/>
      <c r="G49" s="599"/>
      <c r="H49" s="599"/>
      <c r="I49" s="599"/>
      <c r="J49" s="599"/>
      <c r="K49" s="599"/>
      <c r="L49" s="599"/>
      <c r="M49" s="599"/>
    </row>
    <row r="50" spans="2:13">
      <c r="B50" s="423" t="s">
        <v>290</v>
      </c>
      <c r="C50" s="28" t="s">
        <v>168</v>
      </c>
      <c r="D50" s="193">
        <f>Bilan_fonc!F7</f>
        <v>0</v>
      </c>
      <c r="E50" s="610">
        <f t="shared" ref="E50" si="13">D50/D51</f>
        <v>0</v>
      </c>
      <c r="F50" s="596"/>
      <c r="G50" s="598"/>
      <c r="H50" s="598"/>
      <c r="I50" s="598"/>
      <c r="J50" s="598"/>
      <c r="K50" s="598"/>
      <c r="L50" s="598"/>
      <c r="M50" s="598"/>
    </row>
    <row r="51" spans="2:13">
      <c r="B51" s="423"/>
      <c r="C51" s="28" t="s">
        <v>19</v>
      </c>
      <c r="D51" s="193">
        <f>Bilan_fonc!F5</f>
        <v>398220</v>
      </c>
      <c r="E51" s="610"/>
      <c r="F51" s="597"/>
      <c r="G51" s="599"/>
      <c r="H51" s="599"/>
      <c r="I51" s="599"/>
      <c r="J51" s="599"/>
      <c r="K51" s="599"/>
      <c r="L51" s="599"/>
      <c r="M51" s="599"/>
    </row>
    <row r="52" spans="2:13">
      <c r="B52" s="133"/>
      <c r="C52" s="133"/>
      <c r="D52" s="133"/>
      <c r="E52" s="133"/>
      <c r="F52" s="133"/>
      <c r="G52" s="133"/>
      <c r="H52" s="133"/>
      <c r="I52" s="133"/>
      <c r="J52" s="133"/>
      <c r="K52" s="133"/>
      <c r="L52" s="133"/>
      <c r="M52" s="133"/>
    </row>
    <row r="53" spans="2:13">
      <c r="B53" s="132" t="s">
        <v>281</v>
      </c>
      <c r="C53" s="132"/>
      <c r="D53" s="132"/>
      <c r="E53" s="132"/>
      <c r="F53" s="132"/>
      <c r="G53" s="132"/>
      <c r="H53" s="132"/>
      <c r="I53" s="132"/>
      <c r="J53" s="132"/>
      <c r="K53" s="132"/>
      <c r="L53" s="132"/>
      <c r="M53" s="132"/>
    </row>
    <row r="54" spans="2:13">
      <c r="B54" s="423" t="s">
        <v>113</v>
      </c>
      <c r="C54" s="28" t="s">
        <v>162</v>
      </c>
      <c r="D54" s="193">
        <f ca="1">Bilan_fonc!F4</f>
        <v>518220</v>
      </c>
      <c r="E54" s="610">
        <f ca="1">D54/D55</f>
        <v>1.7274</v>
      </c>
      <c r="F54" s="596"/>
      <c r="G54" s="598"/>
      <c r="H54" s="598"/>
      <c r="I54" s="598"/>
      <c r="J54" s="598"/>
      <c r="K54" s="598"/>
      <c r="L54" s="598"/>
      <c r="M54" s="598"/>
    </row>
    <row r="55" spans="2:13">
      <c r="B55" s="423"/>
      <c r="C55" s="28" t="s">
        <v>161</v>
      </c>
      <c r="D55" s="193">
        <f>Bilan_fonc!D4</f>
        <v>300000</v>
      </c>
      <c r="E55" s="610"/>
      <c r="F55" s="597"/>
      <c r="G55" s="599"/>
      <c r="H55" s="599"/>
      <c r="I55" s="599"/>
      <c r="J55" s="599"/>
      <c r="K55" s="599"/>
      <c r="L55" s="599"/>
      <c r="M55" s="599"/>
    </row>
    <row r="56" spans="2:13">
      <c r="B56" s="423" t="s">
        <v>114</v>
      </c>
      <c r="C56" s="28" t="s">
        <v>162</v>
      </c>
      <c r="D56" s="193">
        <f ca="1">Bilan_fonc!F4</f>
        <v>518220</v>
      </c>
      <c r="E56" s="610">
        <f ca="1">D56/D57</f>
        <v>1.6707181037984642</v>
      </c>
      <c r="F56" s="596"/>
      <c r="G56" s="598"/>
      <c r="H56" s="598"/>
      <c r="I56" s="598"/>
      <c r="J56" s="598"/>
      <c r="K56" s="598"/>
      <c r="L56" s="598"/>
      <c r="M56" s="598"/>
    </row>
    <row r="57" spans="2:13">
      <c r="B57" s="423"/>
      <c r="C57" s="28" t="s">
        <v>302</v>
      </c>
      <c r="D57" s="193">
        <f>Bilan_fonc!D4+Bilan_fonc!J9</f>
        <v>310178</v>
      </c>
      <c r="E57" s="610"/>
      <c r="F57" s="597"/>
      <c r="G57" s="599"/>
      <c r="H57" s="599"/>
      <c r="I57" s="599"/>
      <c r="J57" s="599"/>
      <c r="K57" s="599"/>
      <c r="L57" s="599"/>
      <c r="M57" s="599"/>
    </row>
    <row r="58" spans="2:13">
      <c r="B58" s="133"/>
      <c r="C58" s="133"/>
      <c r="D58" s="133"/>
      <c r="E58" s="133"/>
      <c r="F58" s="133"/>
      <c r="G58" s="133"/>
      <c r="H58" s="133"/>
      <c r="I58" s="133"/>
      <c r="J58" s="133"/>
      <c r="K58" s="133"/>
      <c r="L58" s="133"/>
      <c r="M58" s="133"/>
    </row>
    <row r="59" spans="2:13">
      <c r="B59" s="132" t="s">
        <v>282</v>
      </c>
      <c r="C59" s="132"/>
      <c r="D59" s="132"/>
      <c r="E59" s="132"/>
      <c r="F59" s="132"/>
      <c r="G59" s="132"/>
      <c r="H59" s="132"/>
      <c r="I59" s="132"/>
      <c r="J59" s="132"/>
      <c r="K59" s="132"/>
      <c r="L59" s="132"/>
      <c r="M59" s="132"/>
    </row>
    <row r="60" spans="2:13" ht="25.5">
      <c r="B60" s="423" t="s">
        <v>398</v>
      </c>
      <c r="C60" s="28" t="s">
        <v>365</v>
      </c>
      <c r="D60" s="268">
        <f>(((Données_techniques!C15*Données_techniques!G15+Données_techniques!C16*Données_techniques!G16+Données_techniques!C17*Données_techniques!G17+SUM(Données_comptables!C11:C13)/2)*360))</f>
        <v>18878400</v>
      </c>
      <c r="E60" s="612" t="str">
        <f>CONCATENATE(ROUND(D60/D61,0)," j")</f>
        <v>40 j</v>
      </c>
      <c r="F60" s="606"/>
      <c r="G60" s="608"/>
      <c r="H60" s="608"/>
      <c r="I60" s="608"/>
      <c r="J60" s="608"/>
      <c r="K60" s="608"/>
      <c r="L60" s="608"/>
      <c r="M60" s="608"/>
    </row>
    <row r="61" spans="2:13" ht="25.5">
      <c r="B61" s="423"/>
      <c r="C61" s="28" t="s">
        <v>303</v>
      </c>
      <c r="D61" s="50">
        <f>Coûts_complets!S21</f>
        <v>477388</v>
      </c>
      <c r="E61" s="612"/>
      <c r="F61" s="607"/>
      <c r="G61" s="609"/>
      <c r="H61" s="609"/>
      <c r="I61" s="609"/>
      <c r="J61" s="609"/>
      <c r="K61" s="609"/>
      <c r="L61" s="609"/>
      <c r="M61" s="609"/>
    </row>
    <row r="62" spans="2:13">
      <c r="B62" s="604" t="s">
        <v>292</v>
      </c>
      <c r="C62" s="604"/>
      <c r="D62" s="604"/>
      <c r="E62" s="604"/>
      <c r="F62" s="130"/>
      <c r="G62" s="130"/>
      <c r="H62" s="130"/>
      <c r="I62" s="130"/>
      <c r="J62" s="130"/>
      <c r="K62" s="130"/>
      <c r="L62" s="130"/>
      <c r="M62" s="130"/>
    </row>
    <row r="63" spans="2:13">
      <c r="B63" s="132" t="s">
        <v>105</v>
      </c>
      <c r="C63" s="132"/>
      <c r="D63" s="132"/>
      <c r="E63" s="132"/>
      <c r="F63" s="132"/>
      <c r="G63" s="132"/>
      <c r="H63" s="132"/>
      <c r="I63" s="132"/>
      <c r="J63" s="132"/>
      <c r="K63" s="132"/>
      <c r="L63" s="132"/>
      <c r="M63" s="132"/>
    </row>
    <row r="64" spans="2:13">
      <c r="B64" s="423" t="s">
        <v>106</v>
      </c>
      <c r="C64" s="28" t="s">
        <v>210</v>
      </c>
      <c r="D64" s="193">
        <f>SIG!G23</f>
        <v>114313</v>
      </c>
      <c r="E64" s="610">
        <f>D64/D65</f>
        <v>0.28705991662899905</v>
      </c>
      <c r="F64" s="596"/>
      <c r="G64" s="598"/>
      <c r="H64" s="598"/>
      <c r="I64" s="598"/>
      <c r="J64" s="598"/>
      <c r="K64" s="598"/>
      <c r="L64" s="598"/>
      <c r="M64" s="598"/>
    </row>
    <row r="65" spans="2:13">
      <c r="B65" s="423"/>
      <c r="C65" s="28" t="s">
        <v>19</v>
      </c>
      <c r="D65" s="193">
        <f>Données_comptables!G5</f>
        <v>398220</v>
      </c>
      <c r="E65" s="610"/>
      <c r="F65" s="597"/>
      <c r="G65" s="599"/>
      <c r="H65" s="599"/>
      <c r="I65" s="599"/>
      <c r="J65" s="599"/>
      <c r="K65" s="599"/>
      <c r="L65" s="599"/>
      <c r="M65" s="599"/>
    </row>
    <row r="66" spans="2:13" ht="25.5">
      <c r="B66" s="423" t="s">
        <v>293</v>
      </c>
      <c r="C66" s="28" t="s">
        <v>399</v>
      </c>
      <c r="D66" s="193">
        <f>SIG!G14*(1-Proj_inv!P4)</f>
        <v>89561.333333333343</v>
      </c>
      <c r="E66" s="610">
        <f>D66/D67</f>
        <v>0.28874173324134317</v>
      </c>
      <c r="F66" s="596"/>
      <c r="G66" s="598"/>
      <c r="H66" s="598"/>
      <c r="I66" s="598"/>
      <c r="J66" s="598"/>
      <c r="K66" s="598"/>
      <c r="L66" s="598"/>
      <c r="M66" s="598"/>
    </row>
    <row r="67" spans="2:13">
      <c r="B67" s="423"/>
      <c r="C67" s="28" t="s">
        <v>295</v>
      </c>
      <c r="D67" s="193">
        <f>Bilan_fonc!D4+Bilan_fonc!J9</f>
        <v>310178</v>
      </c>
      <c r="E67" s="610"/>
      <c r="F67" s="597"/>
      <c r="G67" s="599"/>
      <c r="H67" s="599"/>
      <c r="I67" s="599"/>
      <c r="J67" s="599"/>
      <c r="K67" s="599"/>
      <c r="L67" s="599"/>
      <c r="M67" s="599"/>
    </row>
    <row r="68" spans="2:13">
      <c r="B68" s="423" t="s">
        <v>294</v>
      </c>
      <c r="C68" s="28" t="s">
        <v>106</v>
      </c>
      <c r="D68" s="287">
        <f>E64</f>
        <v>0.28705991662899905</v>
      </c>
      <c r="E68" s="610">
        <f>D68-D69</f>
        <v>-1.6818166123441225E-3</v>
      </c>
      <c r="F68" s="596"/>
      <c r="G68" s="598"/>
      <c r="H68" s="598"/>
      <c r="I68" s="598"/>
      <c r="J68" s="598"/>
      <c r="K68" s="598"/>
      <c r="L68" s="598"/>
      <c r="M68" s="598"/>
    </row>
    <row r="69" spans="2:13">
      <c r="B69" s="423"/>
      <c r="C69" s="134" t="s">
        <v>296</v>
      </c>
      <c r="D69" s="287">
        <f>E66</f>
        <v>0.28874173324134317</v>
      </c>
      <c r="E69" s="610"/>
      <c r="F69" s="597"/>
      <c r="G69" s="599"/>
      <c r="H69" s="599"/>
      <c r="I69" s="599"/>
      <c r="J69" s="599"/>
      <c r="K69" s="599"/>
      <c r="L69" s="599"/>
      <c r="M69" s="599"/>
    </row>
    <row r="70" spans="2:13">
      <c r="B70" s="133"/>
      <c r="C70" s="133"/>
      <c r="D70" s="133"/>
      <c r="E70" s="133"/>
      <c r="F70" s="133"/>
      <c r="G70" s="133"/>
      <c r="H70" s="133"/>
      <c r="I70" s="133"/>
      <c r="J70" s="133"/>
      <c r="K70" s="133"/>
      <c r="L70" s="133"/>
      <c r="M70" s="133"/>
    </row>
  </sheetData>
  <mergeCells count="247">
    <mergeCell ref="I54:I55"/>
    <mergeCell ref="J54:J55"/>
    <mergeCell ref="E54:E55"/>
    <mergeCell ref="E33:E34"/>
    <mergeCell ref="E35:E36"/>
    <mergeCell ref="E37:E38"/>
    <mergeCell ref="E64:E65"/>
    <mergeCell ref="E27:E28"/>
    <mergeCell ref="E29:E30"/>
    <mergeCell ref="E31:E32"/>
    <mergeCell ref="H54:H55"/>
    <mergeCell ref="B62:E62"/>
    <mergeCell ref="B33:B34"/>
    <mergeCell ref="B35:B36"/>
    <mergeCell ref="B37:B38"/>
    <mergeCell ref="B41:B42"/>
    <mergeCell ref="B44:B45"/>
    <mergeCell ref="F35:F36"/>
    <mergeCell ref="G35:G36"/>
    <mergeCell ref="H35:H36"/>
    <mergeCell ref="I35:I36"/>
    <mergeCell ref="J35:J36"/>
    <mergeCell ref="F29:F30"/>
    <mergeCell ref="G29:G30"/>
    <mergeCell ref="L68:L69"/>
    <mergeCell ref="M68:M69"/>
    <mergeCell ref="H66:H67"/>
    <mergeCell ref="I66:I67"/>
    <mergeCell ref="J66:J67"/>
    <mergeCell ref="K66:K67"/>
    <mergeCell ref="L66:L67"/>
    <mergeCell ref="B66:B67"/>
    <mergeCell ref="E66:E67"/>
    <mergeCell ref="F66:F67"/>
    <mergeCell ref="G66:G67"/>
    <mergeCell ref="B68:B69"/>
    <mergeCell ref="E68:E69"/>
    <mergeCell ref="F68:F69"/>
    <mergeCell ref="G68:G69"/>
    <mergeCell ref="H68:H69"/>
    <mergeCell ref="I68:I69"/>
    <mergeCell ref="J68:J69"/>
    <mergeCell ref="K68:K69"/>
    <mergeCell ref="M66:M67"/>
    <mergeCell ref="B64:B65"/>
    <mergeCell ref="B27:B28"/>
    <mergeCell ref="B29:B30"/>
    <mergeCell ref="B31:B32"/>
    <mergeCell ref="B39:E39"/>
    <mergeCell ref="B46:E46"/>
    <mergeCell ref="B48:B49"/>
    <mergeCell ref="B50:B51"/>
    <mergeCell ref="B54:B55"/>
    <mergeCell ref="B56:B57"/>
    <mergeCell ref="B60:B61"/>
    <mergeCell ref="E41:E42"/>
    <mergeCell ref="E44:E45"/>
    <mergeCell ref="E56:E57"/>
    <mergeCell ref="E60:E61"/>
    <mergeCell ref="E48:E49"/>
    <mergeCell ref="E50:E51"/>
    <mergeCell ref="B5:B6"/>
    <mergeCell ref="E5:E6"/>
    <mergeCell ref="E7:E8"/>
    <mergeCell ref="E9:E10"/>
    <mergeCell ref="E13:E14"/>
    <mergeCell ref="E15:E16"/>
    <mergeCell ref="E17:E18"/>
    <mergeCell ref="E19:E20"/>
    <mergeCell ref="E23:E24"/>
    <mergeCell ref="B9:B10"/>
    <mergeCell ref="B15:B16"/>
    <mergeCell ref="B17:B18"/>
    <mergeCell ref="B19:B20"/>
    <mergeCell ref="B7:B8"/>
    <mergeCell ref="B13:B14"/>
    <mergeCell ref="B23:B24"/>
    <mergeCell ref="B2:E2"/>
    <mergeCell ref="B3:C3"/>
    <mergeCell ref="D3:E3"/>
    <mergeCell ref="K56:K57"/>
    <mergeCell ref="L56:L57"/>
    <mergeCell ref="M56:M57"/>
    <mergeCell ref="F60:F61"/>
    <mergeCell ref="G60:G61"/>
    <mergeCell ref="H60:H61"/>
    <mergeCell ref="I60:I61"/>
    <mergeCell ref="J60:J61"/>
    <mergeCell ref="K60:K61"/>
    <mergeCell ref="L60:L61"/>
    <mergeCell ref="M60:M61"/>
    <mergeCell ref="F56:F57"/>
    <mergeCell ref="G56:G57"/>
    <mergeCell ref="H56:H57"/>
    <mergeCell ref="I56:I57"/>
    <mergeCell ref="J56:J57"/>
    <mergeCell ref="K50:K51"/>
    <mergeCell ref="L50:L51"/>
    <mergeCell ref="M50:M51"/>
    <mergeCell ref="F54:F55"/>
    <mergeCell ref="G54:G55"/>
    <mergeCell ref="F50:F51"/>
    <mergeCell ref="G50:G51"/>
    <mergeCell ref="H50:H51"/>
    <mergeCell ref="I50:I51"/>
    <mergeCell ref="J50:J51"/>
    <mergeCell ref="K44:K45"/>
    <mergeCell ref="L44:L45"/>
    <mergeCell ref="M44:M45"/>
    <mergeCell ref="F48:F49"/>
    <mergeCell ref="G48:G49"/>
    <mergeCell ref="H48:H49"/>
    <mergeCell ref="I48:I49"/>
    <mergeCell ref="J48:J49"/>
    <mergeCell ref="K48:K49"/>
    <mergeCell ref="L48:L49"/>
    <mergeCell ref="M48:M49"/>
    <mergeCell ref="F44:F45"/>
    <mergeCell ref="G44:G45"/>
    <mergeCell ref="H44:H45"/>
    <mergeCell ref="I44:I45"/>
    <mergeCell ref="J44:J45"/>
    <mergeCell ref="F41:F42"/>
    <mergeCell ref="G41:G42"/>
    <mergeCell ref="H41:H42"/>
    <mergeCell ref="I41:I42"/>
    <mergeCell ref="J41:J42"/>
    <mergeCell ref="K41:K42"/>
    <mergeCell ref="L41:L42"/>
    <mergeCell ref="M41:M42"/>
    <mergeCell ref="F37:F38"/>
    <mergeCell ref="G37:G38"/>
    <mergeCell ref="H37:H38"/>
    <mergeCell ref="I37:I38"/>
    <mergeCell ref="J37:J38"/>
    <mergeCell ref="F33:F34"/>
    <mergeCell ref="G33:G34"/>
    <mergeCell ref="H33:H34"/>
    <mergeCell ref="I33:I34"/>
    <mergeCell ref="J33:J34"/>
    <mergeCell ref="K31:K32"/>
    <mergeCell ref="L31:L32"/>
    <mergeCell ref="M31:M32"/>
    <mergeCell ref="K37:K38"/>
    <mergeCell ref="L37:L38"/>
    <mergeCell ref="M37:M38"/>
    <mergeCell ref="K33:K34"/>
    <mergeCell ref="L33:L34"/>
    <mergeCell ref="M33:M34"/>
    <mergeCell ref="K64:K65"/>
    <mergeCell ref="L64:L65"/>
    <mergeCell ref="M64:M65"/>
    <mergeCell ref="K35:K36"/>
    <mergeCell ref="L35:L36"/>
    <mergeCell ref="M35:M36"/>
    <mergeCell ref="K54:K55"/>
    <mergeCell ref="L54:L55"/>
    <mergeCell ref="M54:M55"/>
    <mergeCell ref="F27:F28"/>
    <mergeCell ref="G27:G28"/>
    <mergeCell ref="H27:H28"/>
    <mergeCell ref="I27:I28"/>
    <mergeCell ref="J27:J28"/>
    <mergeCell ref="K27:K28"/>
    <mergeCell ref="L27:L28"/>
    <mergeCell ref="M27:M28"/>
    <mergeCell ref="F64:F65"/>
    <mergeCell ref="G64:G65"/>
    <mergeCell ref="H64:H65"/>
    <mergeCell ref="I64:I65"/>
    <mergeCell ref="J64:J65"/>
    <mergeCell ref="K29:K30"/>
    <mergeCell ref="L29:L30"/>
    <mergeCell ref="M29:M30"/>
    <mergeCell ref="F31:F32"/>
    <mergeCell ref="G31:G32"/>
    <mergeCell ref="H31:H32"/>
    <mergeCell ref="I31:I32"/>
    <mergeCell ref="J31:J32"/>
    <mergeCell ref="H29:H30"/>
    <mergeCell ref="I29:I30"/>
    <mergeCell ref="J29:J30"/>
    <mergeCell ref="K19:K20"/>
    <mergeCell ref="L19:L20"/>
    <mergeCell ref="M19:M20"/>
    <mergeCell ref="F23:F24"/>
    <mergeCell ref="G23:G24"/>
    <mergeCell ref="H23:H24"/>
    <mergeCell ref="I23:I24"/>
    <mergeCell ref="J23:J24"/>
    <mergeCell ref="K23:K24"/>
    <mergeCell ref="L23:L24"/>
    <mergeCell ref="M23:M24"/>
    <mergeCell ref="F19:F20"/>
    <mergeCell ref="G19:G20"/>
    <mergeCell ref="H19:H20"/>
    <mergeCell ref="I19:I20"/>
    <mergeCell ref="J19:J20"/>
    <mergeCell ref="J15:J16"/>
    <mergeCell ref="K15:K16"/>
    <mergeCell ref="L15:L16"/>
    <mergeCell ref="M15:M16"/>
    <mergeCell ref="F17:F18"/>
    <mergeCell ref="G17:G18"/>
    <mergeCell ref="H17:H18"/>
    <mergeCell ref="I17:I18"/>
    <mergeCell ref="J17:J18"/>
    <mergeCell ref="K17:K18"/>
    <mergeCell ref="L17:L18"/>
    <mergeCell ref="M17:M18"/>
    <mergeCell ref="F15:F16"/>
    <mergeCell ref="G15:G16"/>
    <mergeCell ref="H15:H16"/>
    <mergeCell ref="I15:I16"/>
    <mergeCell ref="F13:F14"/>
    <mergeCell ref="G13:G14"/>
    <mergeCell ref="H13:H14"/>
    <mergeCell ref="I13:I14"/>
    <mergeCell ref="J13:J14"/>
    <mergeCell ref="K13:K14"/>
    <mergeCell ref="L13:L14"/>
    <mergeCell ref="M13:M14"/>
    <mergeCell ref="J7:J8"/>
    <mergeCell ref="K7:K8"/>
    <mergeCell ref="L7:L8"/>
    <mergeCell ref="M7:M8"/>
    <mergeCell ref="G9:G10"/>
    <mergeCell ref="H9:H10"/>
    <mergeCell ref="I9:I10"/>
    <mergeCell ref="J9:J10"/>
    <mergeCell ref="F2:M2"/>
    <mergeCell ref="F7:F8"/>
    <mergeCell ref="F9:F10"/>
    <mergeCell ref="G7:G8"/>
    <mergeCell ref="H7:H8"/>
    <mergeCell ref="I7:I8"/>
    <mergeCell ref="G5:G6"/>
    <mergeCell ref="H5:H6"/>
    <mergeCell ref="I5:I6"/>
    <mergeCell ref="K9:K10"/>
    <mergeCell ref="L9:L10"/>
    <mergeCell ref="M9:M10"/>
    <mergeCell ref="F5:F6"/>
    <mergeCell ref="J5:J6"/>
    <mergeCell ref="K5:K6"/>
    <mergeCell ref="L5:L6"/>
    <mergeCell ref="M5:M6"/>
  </mergeCells>
  <pageMargins left="0" right="0" top="0.39370078740157505" bottom="0.39370078740157505" header="0" footer="0"/>
  <pageSetup paperSize="9" orientation="portrait" r:id="rId1"/>
  <headerFooter>
    <oddHeader>&amp;C&amp;A</oddHeader>
    <oddFooter>&amp;CPage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Bouton_ratio">
                <anchor moveWithCells="1" sizeWithCells="1">
                  <from>
                    <xdr:col>5</xdr:col>
                    <xdr:colOff>9525</xdr:colOff>
                    <xdr:row>0</xdr:row>
                    <xdr:rowOff>152400</xdr:rowOff>
                  </from>
                  <to>
                    <xdr:col>13</xdr:col>
                    <xdr:colOff>0</xdr:colOff>
                    <xdr:row>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7"/>
    <pageSetUpPr fitToPage="1"/>
  </sheetPr>
  <dimension ref="B2:J66"/>
  <sheetViews>
    <sheetView topLeftCell="A34" workbookViewId="0">
      <selection activeCell="B54" sqref="B54:C54"/>
    </sheetView>
  </sheetViews>
  <sheetFormatPr baseColWidth="10" defaultRowHeight="12.75"/>
  <cols>
    <col min="1" max="1" width="12.140625" customWidth="1"/>
    <col min="2" max="2" width="23" customWidth="1"/>
    <col min="3" max="3" width="15" customWidth="1"/>
    <col min="4" max="4" width="15.28515625" customWidth="1"/>
    <col min="5" max="5" width="15.140625" customWidth="1"/>
    <col min="6" max="6" width="22.7109375" customWidth="1"/>
    <col min="7" max="7" width="14.42578125" customWidth="1"/>
    <col min="8" max="8" width="14.140625" customWidth="1"/>
    <col min="9" max="9" width="14" customWidth="1"/>
  </cols>
  <sheetData>
    <row r="2" spans="2:7">
      <c r="B2" s="385" t="str">
        <f>CONCATENATE("Bilan comptable de la société au 31/12/",Donnees_de_jeu!E6)</f>
        <v>Bilan comptable de la société au 31/12/2023</v>
      </c>
      <c r="C2" s="385"/>
      <c r="D2" s="385"/>
      <c r="E2" s="385"/>
      <c r="F2" s="385"/>
      <c r="G2" s="385"/>
    </row>
    <row r="3" spans="2:7">
      <c r="B3" s="380" t="s">
        <v>13</v>
      </c>
      <c r="C3" s="380"/>
      <c r="D3" s="380"/>
      <c r="E3" s="380"/>
      <c r="F3" s="380" t="s">
        <v>14</v>
      </c>
      <c r="G3" s="380"/>
    </row>
    <row r="4" spans="2:7" ht="25.5">
      <c r="B4" s="7"/>
      <c r="C4" s="7" t="s">
        <v>15</v>
      </c>
      <c r="D4" s="7" t="s">
        <v>16</v>
      </c>
      <c r="E4" s="7" t="s">
        <v>17</v>
      </c>
      <c r="F4" s="7"/>
      <c r="G4" s="7" t="s">
        <v>17</v>
      </c>
    </row>
    <row r="5" spans="2:7">
      <c r="B5" s="8" t="s">
        <v>18</v>
      </c>
      <c r="C5" s="48">
        <f>SUM(C6:C8)</f>
        <v>300000</v>
      </c>
      <c r="D5" s="48">
        <f>SUM(D6:D8)</f>
        <v>120000</v>
      </c>
      <c r="E5" s="48">
        <f>SUM(E6:E8)</f>
        <v>180000</v>
      </c>
      <c r="F5" s="8" t="s">
        <v>19</v>
      </c>
      <c r="G5" s="48">
        <f>SUM(G6:G9)</f>
        <v>398220</v>
      </c>
    </row>
    <row r="6" spans="2:7">
      <c r="B6" s="9" t="str">
        <f>CONCATENATE("Machine(s) ", Donnees_de_jeu!$C$11, "(s)")</f>
        <v>Machine(s) Classique(s)</v>
      </c>
      <c r="C6" s="35">
        <f>E6+D6</f>
        <v>300000</v>
      </c>
      <c r="D6" s="35">
        <v>120000</v>
      </c>
      <c r="E6" s="35">
        <v>180000</v>
      </c>
      <c r="F6" s="7" t="s">
        <v>20</v>
      </c>
      <c r="G6" s="35">
        <v>300000</v>
      </c>
    </row>
    <row r="7" spans="2:7">
      <c r="B7" s="9" t="str">
        <f>CONCATENATE("Machine(s) ", Donnees_de_jeu!$C$12,"(s)")</f>
        <v>Machine(s) Moderne(s)</v>
      </c>
      <c r="C7" s="35"/>
      <c r="D7" s="35"/>
      <c r="E7" s="35"/>
      <c r="F7" s="7" t="s">
        <v>21</v>
      </c>
      <c r="G7" s="35">
        <v>-16093</v>
      </c>
    </row>
    <row r="8" spans="2:7">
      <c r="B8" s="225"/>
      <c r="C8" s="230"/>
      <c r="D8" s="230"/>
      <c r="E8" s="230"/>
      <c r="F8" s="7" t="s">
        <v>22</v>
      </c>
      <c r="G8" s="35">
        <v>114313</v>
      </c>
    </row>
    <row r="9" spans="2:7">
      <c r="B9" s="23"/>
      <c r="C9" s="23"/>
      <c r="D9" s="23"/>
      <c r="E9" s="23"/>
      <c r="F9" s="223"/>
      <c r="G9" s="35"/>
    </row>
    <row r="10" spans="2:7">
      <c r="B10" s="283" t="s">
        <v>366</v>
      </c>
      <c r="C10" s="284">
        <f>SUM(C11:C14)</f>
        <v>59280</v>
      </c>
      <c r="D10" s="284">
        <f>SUM(D11:D14)</f>
        <v>0</v>
      </c>
      <c r="E10" s="284">
        <f>SUM(E11:E14)</f>
        <v>59280</v>
      </c>
      <c r="F10" s="8" t="s">
        <v>24</v>
      </c>
      <c r="G10" s="48">
        <f>SUM(G11:G18)</f>
        <v>50029</v>
      </c>
    </row>
    <row r="11" spans="2:7">
      <c r="B11" s="10" t="str">
        <f>CONCATENATE("Stock de ", Donnees_de_jeu!$C$6)</f>
        <v>Stock de Scooter G1</v>
      </c>
      <c r="C11" s="35">
        <f>E11+D11</f>
        <v>59280</v>
      </c>
      <c r="D11" s="35"/>
      <c r="E11" s="35">
        <v>59280</v>
      </c>
      <c r="F11" s="7" t="s">
        <v>25</v>
      </c>
      <c r="G11" s="35">
        <v>0</v>
      </c>
    </row>
    <row r="12" spans="2:7">
      <c r="B12" s="10" t="str">
        <f>CONCATENATE("Stock de ", Donnees_de_jeu!$C$7)</f>
        <v>Stock de Scooter G2</v>
      </c>
      <c r="C12" s="35"/>
      <c r="D12" s="35"/>
      <c r="E12" s="35"/>
      <c r="F12" s="7" t="s">
        <v>26</v>
      </c>
      <c r="G12" s="35">
        <v>49102</v>
      </c>
    </row>
    <row r="13" spans="2:7">
      <c r="B13" s="10" t="str">
        <f>CONCATENATE("Stock de ", Donnees_de_jeu!$C$8)</f>
        <v>Stock de Scooter G3</v>
      </c>
      <c r="C13" s="35"/>
      <c r="D13" s="35"/>
      <c r="E13" s="35"/>
      <c r="F13" s="7" t="s">
        <v>317</v>
      </c>
      <c r="G13" s="35"/>
    </row>
    <row r="14" spans="2:7" ht="25.5">
      <c r="B14" s="170" t="s">
        <v>322</v>
      </c>
      <c r="C14" s="35"/>
      <c r="D14" s="35"/>
      <c r="E14" s="35"/>
      <c r="F14" s="7" t="s">
        <v>27</v>
      </c>
      <c r="G14" s="35"/>
    </row>
    <row r="15" spans="2:7" ht="25.5">
      <c r="B15" s="23"/>
      <c r="C15" s="23"/>
      <c r="D15" s="23"/>
      <c r="E15" s="23"/>
      <c r="F15" s="223" t="s">
        <v>29</v>
      </c>
      <c r="G15" s="35">
        <v>927</v>
      </c>
    </row>
    <row r="16" spans="2:7">
      <c r="B16" s="23"/>
      <c r="C16" s="23"/>
      <c r="D16" s="23"/>
      <c r="E16" s="23"/>
      <c r="F16" s="223"/>
      <c r="G16" s="35"/>
    </row>
    <row r="17" spans="2:9">
      <c r="B17" s="283" t="s">
        <v>28</v>
      </c>
      <c r="C17" s="284">
        <f ca="1">SUM(C17:C18)</f>
        <v>208969</v>
      </c>
      <c r="D17" s="284">
        <f ca="1">SUM(D17:D18)</f>
        <v>0</v>
      </c>
      <c r="E17" s="284">
        <f ca="1">SUM(E17:E18)</f>
        <v>208969</v>
      </c>
      <c r="F17" s="283" t="s">
        <v>28</v>
      </c>
      <c r="G17" s="284"/>
    </row>
    <row r="18" spans="2:9">
      <c r="B18" s="7" t="s">
        <v>30</v>
      </c>
      <c r="C18" s="35">
        <f>E18+D18</f>
        <v>208969</v>
      </c>
      <c r="D18" s="35"/>
      <c r="E18" s="35">
        <v>208969</v>
      </c>
      <c r="F18" s="7" t="s">
        <v>388</v>
      </c>
      <c r="G18" s="35"/>
    </row>
    <row r="19" spans="2:9">
      <c r="B19" s="11" t="s">
        <v>31</v>
      </c>
      <c r="C19" s="45">
        <f ca="1">SUM(C5,C10,C17)</f>
        <v>568249</v>
      </c>
      <c r="D19" s="45">
        <f ca="1">SUM(D5,D10,D17)</f>
        <v>120000</v>
      </c>
      <c r="E19" s="45">
        <f ca="1">SUM(E5,E10,E17)</f>
        <v>448249</v>
      </c>
      <c r="F19" s="11" t="s">
        <v>31</v>
      </c>
      <c r="G19" s="45">
        <f>SUM(G5,G10)</f>
        <v>448249</v>
      </c>
    </row>
    <row r="23" spans="2:9" ht="12.75" customHeight="1">
      <c r="B23" s="389" t="str">
        <f>CONCATENATE("Compte de résultat du 01/01/",Donnees_de_jeu!E6," au 31/12/",Donnees_de_jeu!E6)</f>
        <v>Compte de résultat du 01/01/2023 au 31/12/2023</v>
      </c>
      <c r="C23" s="390"/>
      <c r="D23" s="390"/>
      <c r="E23" s="390"/>
      <c r="F23" s="390"/>
      <c r="G23" s="390"/>
      <c r="H23" s="390"/>
      <c r="I23" s="391"/>
    </row>
    <row r="24" spans="2:9">
      <c r="B24" s="374" t="s">
        <v>32</v>
      </c>
      <c r="C24" s="375"/>
      <c r="D24" s="375"/>
      <c r="E24" s="376"/>
      <c r="F24" s="374" t="s">
        <v>33</v>
      </c>
      <c r="G24" s="375"/>
      <c r="H24" s="375"/>
      <c r="I24" s="376"/>
    </row>
    <row r="25" spans="2:9">
      <c r="B25" s="381" t="s">
        <v>34</v>
      </c>
      <c r="C25" s="381"/>
      <c r="D25" s="37">
        <f>SUM(D26:D51)</f>
        <v>607388</v>
      </c>
      <c r="E25" s="38">
        <f>SUM(E26:E51)</f>
        <v>607388</v>
      </c>
      <c r="F25" s="381" t="s">
        <v>35</v>
      </c>
      <c r="G25" s="381"/>
      <c r="H25" s="37">
        <f>SUM(H26:H49)</f>
        <v>741730</v>
      </c>
      <c r="I25" s="38">
        <f>SUM(I26:I49)</f>
        <v>741730</v>
      </c>
    </row>
    <row r="26" spans="2:9">
      <c r="B26" s="370" t="s">
        <v>36</v>
      </c>
      <c r="C26" s="10" t="str">
        <f>Donnees_de_jeu!$C$6</f>
        <v>Scooter G1</v>
      </c>
      <c r="D26" s="377">
        <f>SUM(E26:E28)</f>
        <v>92760</v>
      </c>
      <c r="E26" s="35">
        <v>92760</v>
      </c>
      <c r="F26" s="370" t="s">
        <v>37</v>
      </c>
      <c r="G26" s="10" t="str">
        <f>Donnees_de_jeu!$C$6</f>
        <v>Scooter G1</v>
      </c>
      <c r="H26" s="377">
        <f>SUM(I26:I28)</f>
        <v>705250</v>
      </c>
      <c r="I26" s="35">
        <v>705250</v>
      </c>
    </row>
    <row r="27" spans="2:9">
      <c r="B27" s="370"/>
      <c r="C27" s="10" t="str">
        <f>Donnees_de_jeu!$C$7</f>
        <v>Scooter G2</v>
      </c>
      <c r="D27" s="379"/>
      <c r="E27" s="35"/>
      <c r="F27" s="370"/>
      <c r="G27" s="10" t="str">
        <f>Donnees_de_jeu!$C$7</f>
        <v>Scooter G2</v>
      </c>
      <c r="H27" s="379"/>
      <c r="I27" s="35"/>
    </row>
    <row r="28" spans="2:9">
      <c r="B28" s="370"/>
      <c r="C28" s="10" t="str">
        <f>Donnees_de_jeu!$C$8</f>
        <v>Scooter G3</v>
      </c>
      <c r="D28" s="378"/>
      <c r="E28" s="35"/>
      <c r="F28" s="370"/>
      <c r="G28" s="10" t="str">
        <f>Donnees_de_jeu!$C$8</f>
        <v>Scooter G3</v>
      </c>
      <c r="H28" s="378"/>
      <c r="I28" s="35"/>
    </row>
    <row r="29" spans="2:9">
      <c r="B29" s="370" t="s">
        <v>38</v>
      </c>
      <c r="C29" s="10" t="str">
        <f>Donnees_de_jeu!$C$6</f>
        <v>Scooter G1</v>
      </c>
      <c r="D29" s="377">
        <f t="shared" ref="D29" si="0">SUM(E29:E31)</f>
        <v>30000</v>
      </c>
      <c r="E29" s="35">
        <v>30000</v>
      </c>
      <c r="F29" s="370" t="s">
        <v>39</v>
      </c>
      <c r="G29" s="10" t="str">
        <f>Donnees_de_jeu!$C$6</f>
        <v>Scooter G1</v>
      </c>
      <c r="H29" s="377">
        <f t="shared" ref="H29" si="1">SUM(I29:I31)</f>
        <v>36480</v>
      </c>
      <c r="I29" s="35">
        <v>36480</v>
      </c>
    </row>
    <row r="30" spans="2:9">
      <c r="B30" s="370"/>
      <c r="C30" s="10" t="str">
        <f>Donnees_de_jeu!$C$7</f>
        <v>Scooter G2</v>
      </c>
      <c r="D30" s="379"/>
      <c r="E30" s="35"/>
      <c r="F30" s="370"/>
      <c r="G30" s="10" t="str">
        <f>Donnees_de_jeu!$C$7</f>
        <v>Scooter G2</v>
      </c>
      <c r="H30" s="379"/>
      <c r="I30" s="35"/>
    </row>
    <row r="31" spans="2:9">
      <c r="B31" s="370"/>
      <c r="C31" s="10" t="str">
        <f>Donnees_de_jeu!$C$8</f>
        <v>Scooter G3</v>
      </c>
      <c r="D31" s="378"/>
      <c r="E31" s="35"/>
      <c r="F31" s="370"/>
      <c r="G31" s="10" t="str">
        <f>Donnees_de_jeu!$C$8</f>
        <v>Scooter G3</v>
      </c>
      <c r="H31" s="378"/>
      <c r="I31" s="35"/>
    </row>
    <row r="32" spans="2:9">
      <c r="B32" s="370" t="s">
        <v>40</v>
      </c>
      <c r="C32" s="10" t="str">
        <f>Donnees_de_jeu!$C$6</f>
        <v>Scooter G1</v>
      </c>
      <c r="D32" s="377">
        <f t="shared" ref="D32" si="2">SUM(E32:E34)</f>
        <v>60000</v>
      </c>
      <c r="E32" s="35">
        <v>60000</v>
      </c>
      <c r="F32" s="7"/>
      <c r="G32" s="7"/>
      <c r="H32" s="39"/>
      <c r="I32" s="35"/>
    </row>
    <row r="33" spans="2:9">
      <c r="B33" s="370"/>
      <c r="C33" s="10" t="str">
        <f>Donnees_de_jeu!$C$7</f>
        <v>Scooter G2</v>
      </c>
      <c r="D33" s="379"/>
      <c r="E33" s="35"/>
      <c r="F33" s="7"/>
      <c r="G33" s="7"/>
      <c r="H33" s="40"/>
      <c r="I33" s="35"/>
    </row>
    <row r="34" spans="2:9">
      <c r="B34" s="370"/>
      <c r="C34" s="10" t="str">
        <f>Donnees_de_jeu!$C$8</f>
        <v>Scooter G3</v>
      </c>
      <c r="D34" s="378"/>
      <c r="E34" s="35"/>
      <c r="F34" s="7"/>
      <c r="G34" s="7"/>
      <c r="H34" s="40"/>
      <c r="I34" s="35"/>
    </row>
    <row r="35" spans="2:9">
      <c r="B35" s="370" t="s">
        <v>41</v>
      </c>
      <c r="C35" s="10" t="str">
        <f>Donnees_de_jeu!$C$6</f>
        <v>Scooter G1</v>
      </c>
      <c r="D35" s="377">
        <f t="shared" ref="D35" si="3">SUM(E35:E37)</f>
        <v>40000</v>
      </c>
      <c r="E35" s="35">
        <v>40000</v>
      </c>
      <c r="F35" s="7"/>
      <c r="G35" s="7"/>
      <c r="H35" s="40"/>
      <c r="I35" s="35"/>
    </row>
    <row r="36" spans="2:9">
      <c r="B36" s="370"/>
      <c r="C36" s="10" t="str">
        <f>Donnees_de_jeu!$C$7</f>
        <v>Scooter G2</v>
      </c>
      <c r="D36" s="379"/>
      <c r="E36" s="35"/>
      <c r="F36" s="7"/>
      <c r="G36" s="7"/>
      <c r="H36" s="40"/>
      <c r="I36" s="35"/>
    </row>
    <row r="37" spans="2:9">
      <c r="B37" s="370"/>
      <c r="C37" s="10" t="str">
        <f>Donnees_de_jeu!$C$8</f>
        <v>Scooter G3</v>
      </c>
      <c r="D37" s="378"/>
      <c r="E37" s="35"/>
      <c r="F37" s="7"/>
      <c r="G37" s="7"/>
      <c r="H37" s="40"/>
      <c r="I37" s="35"/>
    </row>
    <row r="38" spans="2:9">
      <c r="B38" s="370" t="s">
        <v>42</v>
      </c>
      <c r="C38" s="10" t="str">
        <f>Donnees_de_jeu!$C$6</f>
        <v>Scooter G1</v>
      </c>
      <c r="D38" s="377">
        <f t="shared" ref="D38" si="4">SUM(E38:E40)</f>
        <v>30000</v>
      </c>
      <c r="E38" s="35">
        <v>30000</v>
      </c>
      <c r="F38" s="7"/>
      <c r="G38" s="7"/>
      <c r="H38" s="40"/>
      <c r="I38" s="35"/>
    </row>
    <row r="39" spans="2:9">
      <c r="B39" s="370"/>
      <c r="C39" s="10" t="str">
        <f>Donnees_de_jeu!$C$7</f>
        <v>Scooter G2</v>
      </c>
      <c r="D39" s="379"/>
      <c r="E39" s="35"/>
      <c r="F39" s="7"/>
      <c r="G39" s="7"/>
      <c r="H39" s="40"/>
      <c r="I39" s="35"/>
    </row>
    <row r="40" spans="2:9">
      <c r="B40" s="370"/>
      <c r="C40" s="10" t="str">
        <f>Donnees_de_jeu!$C$8</f>
        <v>Scooter G3</v>
      </c>
      <c r="D40" s="378"/>
      <c r="E40" s="35"/>
      <c r="F40" s="7"/>
      <c r="G40" s="7"/>
      <c r="H40" s="40"/>
      <c r="I40" s="35"/>
    </row>
    <row r="41" spans="2:9">
      <c r="B41" s="370" t="s">
        <v>43</v>
      </c>
      <c r="C41" s="10" t="str">
        <f>Donnees_de_jeu!$C$6</f>
        <v>Scooter G1</v>
      </c>
      <c r="D41" s="377">
        <f t="shared" ref="D41" si="5">SUM(E41:E43)</f>
        <v>5928</v>
      </c>
      <c r="E41" s="35">
        <v>5928</v>
      </c>
      <c r="F41" s="7"/>
      <c r="G41" s="7"/>
      <c r="H41" s="40"/>
      <c r="I41" s="35"/>
    </row>
    <row r="42" spans="2:9">
      <c r="B42" s="370"/>
      <c r="C42" s="10" t="str">
        <f>Donnees_de_jeu!$C$7</f>
        <v>Scooter G2</v>
      </c>
      <c r="D42" s="379"/>
      <c r="E42" s="35"/>
      <c r="F42" s="7"/>
      <c r="G42" s="7"/>
      <c r="H42" s="40"/>
      <c r="I42" s="35"/>
    </row>
    <row r="43" spans="2:9">
      <c r="B43" s="370"/>
      <c r="C43" s="10" t="str">
        <f>Donnees_de_jeu!$C$8</f>
        <v>Scooter G3</v>
      </c>
      <c r="D43" s="378"/>
      <c r="E43" s="35"/>
      <c r="F43" s="7"/>
      <c r="G43" s="7"/>
      <c r="H43" s="40"/>
      <c r="I43" s="35"/>
    </row>
    <row r="44" spans="2:9">
      <c r="B44" s="370" t="s">
        <v>44</v>
      </c>
      <c r="C44" s="10" t="str">
        <f>Donnees_de_jeu!$C$6</f>
        <v>Scooter G1</v>
      </c>
      <c r="D44" s="377">
        <f t="shared" ref="D44" si="6">SUM(E44:E46)</f>
        <v>0</v>
      </c>
      <c r="E44" s="35">
        <v>0</v>
      </c>
      <c r="F44" s="7"/>
      <c r="G44" s="7"/>
      <c r="H44" s="40"/>
      <c r="I44" s="35"/>
    </row>
    <row r="45" spans="2:9">
      <c r="B45" s="370"/>
      <c r="C45" s="10" t="str">
        <f>Donnees_de_jeu!$C$7</f>
        <v>Scooter G2</v>
      </c>
      <c r="D45" s="379"/>
      <c r="E45" s="35"/>
      <c r="F45" s="7"/>
      <c r="G45" s="7"/>
      <c r="H45" s="40"/>
      <c r="I45" s="35"/>
    </row>
    <row r="46" spans="2:9">
      <c r="B46" s="370"/>
      <c r="C46" s="10" t="str">
        <f>Donnees_de_jeu!$C$8</f>
        <v>Scooter G3</v>
      </c>
      <c r="D46" s="378"/>
      <c r="E46" s="35"/>
      <c r="F46" s="7"/>
      <c r="G46" s="7"/>
      <c r="H46" s="40"/>
      <c r="I46" s="35"/>
    </row>
    <row r="47" spans="2:9">
      <c r="B47" s="370" t="s">
        <v>45</v>
      </c>
      <c r="C47" s="370"/>
      <c r="D47" s="41">
        <f>E47</f>
        <v>188700</v>
      </c>
      <c r="E47" s="35">
        <v>188700</v>
      </c>
      <c r="F47" s="7"/>
      <c r="G47" s="7"/>
      <c r="H47" s="40"/>
      <c r="I47" s="35"/>
    </row>
    <row r="48" spans="2:9" ht="25.5">
      <c r="B48" s="370" t="s">
        <v>46</v>
      </c>
      <c r="C48" s="9" t="str">
        <f>CONCATENATE("Machine(s) ", Donnees_de_jeu!$C$11, "(s)")</f>
        <v>Machine(s) Classique(s)</v>
      </c>
      <c r="D48" s="377">
        <f>SUM(E48:E49)</f>
        <v>60000</v>
      </c>
      <c r="E48" s="35">
        <v>60000</v>
      </c>
      <c r="F48" s="7"/>
      <c r="G48" s="7"/>
      <c r="H48" s="40"/>
      <c r="I48" s="35"/>
    </row>
    <row r="49" spans="2:9" ht="25.5">
      <c r="B49" s="370"/>
      <c r="C49" s="9" t="str">
        <f>CONCATENATE("Machine(s) ", Donnees_de_jeu!$C$12,"(s)")</f>
        <v>Machine(s) Moderne(s)</v>
      </c>
      <c r="D49" s="378"/>
      <c r="E49" s="35">
        <v>0</v>
      </c>
      <c r="F49" s="225"/>
      <c r="G49" s="225"/>
      <c r="H49" s="40"/>
      <c r="I49" s="35"/>
    </row>
    <row r="50" spans="2:9" ht="31.5" customHeight="1">
      <c r="B50" s="366" t="s">
        <v>360</v>
      </c>
      <c r="C50" s="367"/>
      <c r="D50" s="96">
        <f>E50</f>
        <v>30000</v>
      </c>
      <c r="E50" s="145">
        <v>30000</v>
      </c>
      <c r="F50" s="28"/>
      <c r="G50" s="28"/>
      <c r="H50" s="224"/>
      <c r="I50" s="35"/>
    </row>
    <row r="51" spans="2:9">
      <c r="B51" s="366" t="s">
        <v>359</v>
      </c>
      <c r="C51" s="367"/>
      <c r="D51" s="96">
        <f t="shared" ref="D51" si="7">E51</f>
        <v>70000</v>
      </c>
      <c r="E51" s="35">
        <v>70000</v>
      </c>
      <c r="F51" s="226"/>
      <c r="G51" s="227"/>
      <c r="H51" s="40"/>
      <c r="I51" s="35"/>
    </row>
    <row r="52" spans="2:9" ht="12.75" customHeight="1">
      <c r="B52" s="381" t="s">
        <v>47</v>
      </c>
      <c r="C52" s="381"/>
      <c r="D52" s="37">
        <f>SUM(D53:D55)</f>
        <v>927</v>
      </c>
      <c r="E52" s="37">
        <f>SUM(E53:E55)</f>
        <v>927</v>
      </c>
      <c r="F52" s="396" t="s">
        <v>48</v>
      </c>
      <c r="G52" s="395"/>
      <c r="H52" s="37">
        <f>SUM(H53:H55)</f>
        <v>0</v>
      </c>
      <c r="I52" s="37">
        <f>SUM(I53:I55)</f>
        <v>0</v>
      </c>
    </row>
    <row r="53" spans="2:9" ht="12.75" customHeight="1">
      <c r="B53" s="370" t="s">
        <v>49</v>
      </c>
      <c r="C53" s="370"/>
      <c r="D53" s="41">
        <f>E53</f>
        <v>927</v>
      </c>
      <c r="E53" s="35">
        <v>927</v>
      </c>
      <c r="F53" s="366" t="s">
        <v>50</v>
      </c>
      <c r="G53" s="367"/>
      <c r="H53" s="41">
        <f>I53</f>
        <v>0</v>
      </c>
      <c r="I53" s="35"/>
    </row>
    <row r="54" spans="2:9">
      <c r="B54" s="370" t="s">
        <v>51</v>
      </c>
      <c r="C54" s="370"/>
      <c r="D54" s="41">
        <f>E54</f>
        <v>0</v>
      </c>
      <c r="E54" s="35">
        <v>0</v>
      </c>
      <c r="F54" s="372"/>
      <c r="G54" s="373"/>
      <c r="H54" s="40"/>
      <c r="I54" s="35"/>
    </row>
    <row r="55" spans="2:9">
      <c r="B55" s="370" t="s">
        <v>321</v>
      </c>
      <c r="C55" s="370"/>
      <c r="D55" s="41">
        <f>E55</f>
        <v>0</v>
      </c>
      <c r="E55" s="35">
        <v>0</v>
      </c>
      <c r="F55" s="372"/>
      <c r="G55" s="373"/>
      <c r="H55" s="40"/>
      <c r="I55" s="35"/>
    </row>
    <row r="56" spans="2:9" ht="12.75" customHeight="1">
      <c r="B56" s="388" t="s">
        <v>52</v>
      </c>
      <c r="C56" s="381"/>
      <c r="D56" s="37">
        <f>SUM(D57:D62)</f>
        <v>0</v>
      </c>
      <c r="E56" s="37">
        <f>SUM(E57:E62)</f>
        <v>0</v>
      </c>
      <c r="F56" s="394" t="s">
        <v>53</v>
      </c>
      <c r="G56" s="395"/>
      <c r="H56" s="37">
        <f>SUM(H57:H62)</f>
        <v>30000</v>
      </c>
      <c r="I56" s="37">
        <f>SUM(I57:I62)</f>
        <v>30000</v>
      </c>
    </row>
    <row r="57" spans="2:9" ht="27" customHeight="1">
      <c r="B57" s="384" t="s">
        <v>215</v>
      </c>
      <c r="C57" s="33" t="str">
        <f>CONCATENATE("Machine(s) ", Donnees_de_jeu!$C$11, "(s)")</f>
        <v>Machine(s) Classique(s)</v>
      </c>
      <c r="D57" s="377">
        <f>SUM(E57:E58)</f>
        <v>0</v>
      </c>
      <c r="E57" s="36">
        <v>0</v>
      </c>
      <c r="F57" s="384" t="s">
        <v>216</v>
      </c>
      <c r="G57" s="33" t="str">
        <f>CONCATENATE("Machine(s) ", Donnees_de_jeu!$C$11, "(s)")</f>
        <v>Machine(s) Classique(s)</v>
      </c>
      <c r="H57" s="377">
        <f>SUM(I57:I58)</f>
        <v>0</v>
      </c>
      <c r="I57" s="34"/>
    </row>
    <row r="58" spans="2:9" ht="27.75" customHeight="1">
      <c r="B58" s="384"/>
      <c r="C58" s="33" t="str">
        <f>CONCATENATE("Machine(s) ", Donnees_de_jeu!$C$12,"(s)")</f>
        <v>Machine(s) Moderne(s)</v>
      </c>
      <c r="D58" s="378"/>
      <c r="E58" s="36">
        <v>0</v>
      </c>
      <c r="F58" s="384"/>
      <c r="G58" s="33" t="str">
        <f>CONCATENATE("Machine(s) ", Donnees_de_jeu!$C$12,"(s)")</f>
        <v>Machine(s) Moderne(s)</v>
      </c>
      <c r="H58" s="378"/>
      <c r="I58" s="34"/>
    </row>
    <row r="59" spans="2:9">
      <c r="B59" s="382" t="s">
        <v>213</v>
      </c>
      <c r="C59" s="10" t="str">
        <f>Donnees_de_jeu!$C$6</f>
        <v>Scooter G1</v>
      </c>
      <c r="D59" s="377">
        <f>SUM(E59:E61)</f>
        <v>0</v>
      </c>
      <c r="E59" s="35">
        <v>0</v>
      </c>
      <c r="F59" s="401" t="s">
        <v>214</v>
      </c>
      <c r="G59" s="10" t="str">
        <f>Donnees_de_jeu!$C$6</f>
        <v>Scooter G1</v>
      </c>
      <c r="H59" s="377">
        <f>SUM(I59:I61)</f>
        <v>0</v>
      </c>
      <c r="I59" s="35"/>
    </row>
    <row r="60" spans="2:9">
      <c r="B60" s="382"/>
      <c r="C60" s="10" t="str">
        <f>Donnees_de_jeu!$C$7</f>
        <v>Scooter G2</v>
      </c>
      <c r="D60" s="379"/>
      <c r="E60" s="35">
        <v>0</v>
      </c>
      <c r="F60" s="401"/>
      <c r="G60" s="10" t="str">
        <f>Donnees_de_jeu!$C$7</f>
        <v>Scooter G2</v>
      </c>
      <c r="H60" s="379"/>
      <c r="I60" s="35"/>
    </row>
    <row r="61" spans="2:9">
      <c r="B61" s="383"/>
      <c r="C61" s="229" t="str">
        <f>Donnees_de_jeu!$C$8</f>
        <v>Scooter G3</v>
      </c>
      <c r="D61" s="379"/>
      <c r="E61" s="230">
        <v>0</v>
      </c>
      <c r="F61" s="401"/>
      <c r="G61" s="229" t="str">
        <f>Donnees_de_jeu!$C$8</f>
        <v>Scooter G3</v>
      </c>
      <c r="H61" s="378"/>
      <c r="I61" s="35"/>
    </row>
    <row r="62" spans="2:9">
      <c r="B62" s="100"/>
      <c r="C62" s="207"/>
      <c r="D62" s="233"/>
      <c r="E62" s="234"/>
      <c r="F62" s="368" t="s">
        <v>361</v>
      </c>
      <c r="G62" s="369"/>
      <c r="H62" s="228">
        <f>I62</f>
        <v>30000</v>
      </c>
      <c r="I62" s="35">
        <v>30000</v>
      </c>
    </row>
    <row r="63" spans="2:9">
      <c r="B63" s="371" t="s">
        <v>145</v>
      </c>
      <c r="C63" s="387"/>
      <c r="D63" s="231">
        <f>E63</f>
        <v>49102</v>
      </c>
      <c r="E63" s="232">
        <v>49102</v>
      </c>
      <c r="F63" s="399"/>
      <c r="G63" s="400"/>
      <c r="H63" s="42"/>
      <c r="I63" s="43"/>
    </row>
    <row r="64" spans="2:9">
      <c r="B64" s="371" t="s">
        <v>132</v>
      </c>
      <c r="C64" s="371"/>
      <c r="D64" s="46">
        <f>E64</f>
        <v>0</v>
      </c>
      <c r="E64" s="43">
        <v>0</v>
      </c>
      <c r="F64" s="97"/>
      <c r="G64" s="98"/>
      <c r="H64" s="42"/>
      <c r="I64" s="43"/>
    </row>
    <row r="65" spans="2:10" ht="12.75" customHeight="1">
      <c r="B65" s="386" t="s">
        <v>54</v>
      </c>
      <c r="C65" s="386"/>
      <c r="D65" s="364">
        <f>IF(G8&lt;0,0,G8)</f>
        <v>114313</v>
      </c>
      <c r="E65" s="365"/>
      <c r="F65" s="397" t="s">
        <v>55</v>
      </c>
      <c r="G65" s="398"/>
      <c r="H65" s="364">
        <f>IF(G8&gt;0,0,-G8)</f>
        <v>0</v>
      </c>
      <c r="I65" s="365"/>
    </row>
    <row r="66" spans="2:10">
      <c r="B66" s="380" t="s">
        <v>31</v>
      </c>
      <c r="C66" s="380"/>
      <c r="D66" s="47"/>
      <c r="E66" s="45">
        <f>SUM(E25,E52,E56,E63,E64,D65)</f>
        <v>771730</v>
      </c>
      <c r="F66" s="392" t="s">
        <v>31</v>
      </c>
      <c r="G66" s="393"/>
      <c r="H66" s="44"/>
      <c r="I66" s="45">
        <f>SUM(I25,I52,I56,H65)</f>
        <v>771730</v>
      </c>
      <c r="J66" s="12"/>
    </row>
  </sheetData>
  <mergeCells count="59">
    <mergeCell ref="F66:G66"/>
    <mergeCell ref="F53:G53"/>
    <mergeCell ref="F56:G56"/>
    <mergeCell ref="F52:G52"/>
    <mergeCell ref="F65:G65"/>
    <mergeCell ref="F63:G63"/>
    <mergeCell ref="F57:F58"/>
    <mergeCell ref="F59:F61"/>
    <mergeCell ref="B2:G2"/>
    <mergeCell ref="B3:E3"/>
    <mergeCell ref="F3:G3"/>
    <mergeCell ref="B65:C65"/>
    <mergeCell ref="B38:B40"/>
    <mergeCell ref="B41:B43"/>
    <mergeCell ref="B44:B46"/>
    <mergeCell ref="B47:C47"/>
    <mergeCell ref="B63:C63"/>
    <mergeCell ref="B56:C56"/>
    <mergeCell ref="B23:I23"/>
    <mergeCell ref="H26:H28"/>
    <mergeCell ref="H29:H31"/>
    <mergeCell ref="B25:C25"/>
    <mergeCell ref="F25:G25"/>
    <mergeCell ref="B26:B28"/>
    <mergeCell ref="B66:C66"/>
    <mergeCell ref="D26:D28"/>
    <mergeCell ref="D29:D31"/>
    <mergeCell ref="D32:D34"/>
    <mergeCell ref="D35:D37"/>
    <mergeCell ref="D38:D40"/>
    <mergeCell ref="D41:D43"/>
    <mergeCell ref="D44:D46"/>
    <mergeCell ref="B48:B49"/>
    <mergeCell ref="B52:C52"/>
    <mergeCell ref="B53:C53"/>
    <mergeCell ref="B54:C54"/>
    <mergeCell ref="B59:B61"/>
    <mergeCell ref="B29:B31"/>
    <mergeCell ref="B57:B58"/>
    <mergeCell ref="D59:D61"/>
    <mergeCell ref="B24:E24"/>
    <mergeCell ref="F24:I24"/>
    <mergeCell ref="H57:H58"/>
    <mergeCell ref="H59:H61"/>
    <mergeCell ref="F54:G54"/>
    <mergeCell ref="F26:F28"/>
    <mergeCell ref="F29:F31"/>
    <mergeCell ref="D57:D58"/>
    <mergeCell ref="B32:B34"/>
    <mergeCell ref="B35:B37"/>
    <mergeCell ref="D48:D49"/>
    <mergeCell ref="D65:E65"/>
    <mergeCell ref="H65:I65"/>
    <mergeCell ref="B50:C50"/>
    <mergeCell ref="B51:C51"/>
    <mergeCell ref="F62:G62"/>
    <mergeCell ref="B55:C55"/>
    <mergeCell ref="B64:C64"/>
    <mergeCell ref="F55:G55"/>
  </mergeCells>
  <pageMargins left="0.25" right="0.25" top="0.75" bottom="0.75" header="0.3" footer="0.3"/>
  <pageSetup paperSize="8" scale="99" orientation="portrait"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7"/>
  </sheetPr>
  <dimension ref="B2:G23"/>
  <sheetViews>
    <sheetView workbookViewId="0">
      <selection activeCell="D20" sqref="D20"/>
    </sheetView>
  </sheetViews>
  <sheetFormatPr baseColWidth="10" defaultRowHeight="12.75"/>
  <cols>
    <col min="1" max="1" width="12.140625" customWidth="1"/>
    <col min="2" max="2" width="25.28515625" customWidth="1"/>
    <col min="3" max="3" width="17.85546875" customWidth="1"/>
    <col min="4" max="4" width="18.7109375" customWidth="1"/>
    <col min="5" max="5" width="19" customWidth="1"/>
    <col min="6" max="6" width="15.5703125" customWidth="1"/>
    <col min="7" max="7" width="19" customWidth="1"/>
    <col min="8" max="8" width="11.42578125" customWidth="1"/>
  </cols>
  <sheetData>
    <row r="2" spans="2:7">
      <c r="B2" s="402" t="s">
        <v>56</v>
      </c>
      <c r="C2" s="402"/>
    </row>
    <row r="3" spans="2:7" ht="25.5">
      <c r="B3" s="17" t="str">
        <f>CONCATENATE("Rappel de la trésorerie au 31/12/",Donnees_de_jeu!E6-1)</f>
        <v>Rappel de la trésorerie au 31/12/2022</v>
      </c>
      <c r="C3" s="35">
        <v>26200</v>
      </c>
    </row>
    <row r="4" spans="2:7" ht="25.5">
      <c r="B4" s="17" t="str">
        <f>CONCATENATE("Rappel de la trésorerie prévisionnelle au 01/01/",Donnees_de_jeu!E6)</f>
        <v>Rappel de la trésorerie prévisionnelle au 01/01/2023</v>
      </c>
      <c r="C4" s="35">
        <v>21107</v>
      </c>
    </row>
    <row r="5" spans="2:7">
      <c r="B5" s="17" t="str">
        <f>CONCATENATE("Trésorerie au 01/01/",Donnees_de_jeu!E6)</f>
        <v>Trésorerie au 01/01/2023</v>
      </c>
      <c r="C5" s="35">
        <v>-48893</v>
      </c>
    </row>
    <row r="6" spans="2:7">
      <c r="B6" s="17" t="str">
        <f>CONCATENATE("Trésorerie au 31/12/",Donnees_de_jeu!E6)</f>
        <v>Trésorerie au 31/12/2023</v>
      </c>
      <c r="C6" s="35">
        <v>208969</v>
      </c>
    </row>
    <row r="7" spans="2:7">
      <c r="B7" s="7" t="s">
        <v>57</v>
      </c>
      <c r="C7" s="35">
        <v>4635</v>
      </c>
    </row>
    <row r="8" spans="2:7" ht="25.5">
      <c r="B8" s="17" t="str">
        <f>CONCATENATE("Trésorerie prévisionnelle au 01/01/",Donnees_de_jeu!E6+1)</f>
        <v>Trésorerie prévisionnelle au 01/01/2024</v>
      </c>
      <c r="C8" s="35">
        <v>158940</v>
      </c>
    </row>
    <row r="10" spans="2:7">
      <c r="B10" s="402" t="s">
        <v>58</v>
      </c>
      <c r="C10" s="402"/>
      <c r="D10" s="402"/>
      <c r="E10" s="402"/>
      <c r="F10" s="402"/>
      <c r="G10" s="402"/>
    </row>
    <row r="11" spans="2:7" ht="25.5">
      <c r="B11" s="7" t="s">
        <v>59</v>
      </c>
      <c r="C11" s="7" t="s">
        <v>60</v>
      </c>
      <c r="D11" s="7" t="s">
        <v>61</v>
      </c>
      <c r="E11" s="7" t="s">
        <v>62</v>
      </c>
      <c r="F11" s="7" t="s">
        <v>63</v>
      </c>
      <c r="G11" s="7" t="s">
        <v>64</v>
      </c>
    </row>
    <row r="12" spans="2:7">
      <c r="B12" s="17">
        <f>Donnees_de_jeu!E6</f>
        <v>2023</v>
      </c>
      <c r="C12" s="35"/>
      <c r="D12" s="35"/>
      <c r="E12" s="35"/>
      <c r="F12" s="35"/>
      <c r="G12" s="35"/>
    </row>
    <row r="13" spans="2:7">
      <c r="B13" s="17">
        <f>B12+1</f>
        <v>2024</v>
      </c>
      <c r="C13" s="35"/>
      <c r="D13" s="35"/>
      <c r="E13" s="35"/>
      <c r="F13" s="35"/>
      <c r="G13" s="35"/>
    </row>
    <row r="14" spans="2:7">
      <c r="B14" s="7" t="s">
        <v>65</v>
      </c>
      <c r="C14" s="35"/>
      <c r="D14" s="35"/>
      <c r="E14" s="35"/>
      <c r="F14" s="35"/>
      <c r="G14" s="35"/>
    </row>
    <row r="15" spans="2:7">
      <c r="B15" s="7" t="s">
        <v>66</v>
      </c>
      <c r="C15" s="35"/>
      <c r="D15" s="35"/>
      <c r="E15" s="35"/>
      <c r="F15" s="35"/>
      <c r="G15" s="35"/>
    </row>
    <row r="16" spans="2:7">
      <c r="B16" s="7" t="s">
        <v>65</v>
      </c>
      <c r="C16" s="35"/>
      <c r="D16" s="35"/>
      <c r="E16" s="35"/>
      <c r="F16" s="35"/>
      <c r="G16" s="35"/>
    </row>
    <row r="17" spans="2:7">
      <c r="B17" s="7" t="s">
        <v>67</v>
      </c>
      <c r="C17" s="35"/>
      <c r="D17" s="35"/>
      <c r="E17" s="35"/>
      <c r="F17" s="35"/>
      <c r="G17" s="35"/>
    </row>
    <row r="19" spans="2:7" ht="25.5">
      <c r="B19" s="17" t="str">
        <f>CONCATENATE("Dividendes versés cette année :"," ",Donnees_de_jeu!E6)</f>
        <v>Dividendes versés cette année : 2023</v>
      </c>
      <c r="C19" s="35">
        <v>0</v>
      </c>
    </row>
    <row r="20" spans="2:7" ht="25.5">
      <c r="B20" s="17" t="str">
        <f>CONCATENATE("Dividendes distribuables (max) pour l'année ",Donnees_de_jeu!E6+1," :")</f>
        <v>Dividendes distribuables (max) pour l'année 2024 :</v>
      </c>
      <c r="C20" s="235">
        <v>98220</v>
      </c>
    </row>
    <row r="21" spans="2:7" ht="38.25">
      <c r="B21" s="7" t="s">
        <v>68</v>
      </c>
      <c r="C21" s="235">
        <v>348191</v>
      </c>
    </row>
    <row r="22" spans="2:7" ht="38.25">
      <c r="B22" s="225" t="s">
        <v>69</v>
      </c>
      <c r="C22" s="261">
        <v>557160</v>
      </c>
    </row>
    <row r="23" spans="2:7" ht="25.5">
      <c r="B23" s="262" t="str">
        <f>CONCATENATE("Dividendes qui seront distribués en ",Donnees_de_jeu!E6+1)</f>
        <v>Dividendes qui seront distribués en 2024</v>
      </c>
      <c r="C23" s="260"/>
    </row>
  </sheetData>
  <mergeCells count="2">
    <mergeCell ref="B2:C2"/>
    <mergeCell ref="B10:G10"/>
  </mergeCells>
  <pageMargins left="0" right="0" top="0.39370078740157505" bottom="0.39370078740157505" header="0" footer="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990BE-81F2-4679-A880-4120FF2325F2}">
  <sheetPr codeName="Feuil15">
    <tabColor rgb="FFFFC000"/>
  </sheetPr>
  <dimension ref="B2:H3"/>
  <sheetViews>
    <sheetView zoomScale="160" zoomScaleNormal="160" workbookViewId="0">
      <selection activeCell="G11" sqref="G11"/>
    </sheetView>
  </sheetViews>
  <sheetFormatPr baseColWidth="10" defaultRowHeight="12.75"/>
  <cols>
    <col min="2" max="2" width="15.42578125" customWidth="1"/>
    <col min="4" max="4" width="13.7109375" customWidth="1"/>
    <col min="6" max="6" width="15.85546875" customWidth="1"/>
    <col min="7" max="7" width="16.85546875" customWidth="1"/>
  </cols>
  <sheetData>
    <row r="2" spans="2:8" ht="38.25">
      <c r="B2" s="28" t="s">
        <v>362</v>
      </c>
      <c r="C2" s="28" t="s">
        <v>353</v>
      </c>
      <c r="D2" s="28" t="s">
        <v>354</v>
      </c>
      <c r="E2" s="28" t="s">
        <v>355</v>
      </c>
      <c r="F2" s="28" t="s">
        <v>356</v>
      </c>
      <c r="G2" s="28" t="s">
        <v>357</v>
      </c>
      <c r="H2" s="28" t="s">
        <v>358</v>
      </c>
    </row>
    <row r="3" spans="2:8">
      <c r="B3" s="23">
        <v>62</v>
      </c>
      <c r="C3" s="28">
        <v>23</v>
      </c>
      <c r="D3" s="28">
        <v>0</v>
      </c>
      <c r="E3" s="28">
        <v>185</v>
      </c>
      <c r="F3" s="28">
        <v>185</v>
      </c>
      <c r="G3" s="28">
        <f>B3+C3-D3</f>
        <v>85</v>
      </c>
      <c r="H3" s="28">
        <v>255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7"/>
  </sheetPr>
  <dimension ref="B2:G17"/>
  <sheetViews>
    <sheetView topLeftCell="A4" zoomScale="175" zoomScaleNormal="175" workbookViewId="0">
      <selection activeCell="G15" sqref="G15"/>
    </sheetView>
  </sheetViews>
  <sheetFormatPr baseColWidth="10" defaultRowHeight="12.75"/>
  <cols>
    <col min="1" max="1" width="12.140625" customWidth="1"/>
    <col min="2" max="2" width="33.7109375" customWidth="1"/>
    <col min="3" max="3" width="13.85546875" customWidth="1"/>
    <col min="4" max="5" width="12.140625" customWidth="1"/>
    <col min="6" max="6" width="13.7109375" customWidth="1"/>
    <col min="7" max="7" width="11.42578125" customWidth="1"/>
  </cols>
  <sheetData>
    <row r="2" spans="2:7">
      <c r="B2" s="402" t="s">
        <v>70</v>
      </c>
      <c r="C2" s="402"/>
    </row>
    <row r="3" spans="2:7">
      <c r="B3" s="7" t="s">
        <v>71</v>
      </c>
      <c r="C3" s="35">
        <v>140000</v>
      </c>
    </row>
    <row r="4" spans="2:7" ht="25.5">
      <c r="B4" s="7" t="s">
        <v>72</v>
      </c>
      <c r="C4" s="235">
        <v>-1</v>
      </c>
    </row>
    <row r="6" spans="2:7">
      <c r="B6" s="402" t="s">
        <v>73</v>
      </c>
      <c r="C6" s="402"/>
      <c r="D6" s="402"/>
      <c r="E6" s="402"/>
      <c r="F6" s="402"/>
    </row>
    <row r="7" spans="2:7" ht="25.5">
      <c r="B7" s="7" t="s">
        <v>74</v>
      </c>
      <c r="C7" s="7" t="s">
        <v>75</v>
      </c>
      <c r="D7" s="7" t="s">
        <v>76</v>
      </c>
      <c r="E7" s="7" t="s">
        <v>77</v>
      </c>
      <c r="F7" s="7" t="s">
        <v>78</v>
      </c>
    </row>
    <row r="8" spans="2:7">
      <c r="B8" s="9" t="str">
        <f>Donnees_de_jeu!C11</f>
        <v>Classique</v>
      </c>
      <c r="C8" s="7">
        <v>2</v>
      </c>
      <c r="D8" s="7">
        <v>30</v>
      </c>
      <c r="E8" s="7">
        <v>3000</v>
      </c>
      <c r="F8" s="35">
        <v>180000</v>
      </c>
    </row>
    <row r="9" spans="2:7">
      <c r="B9" s="7"/>
      <c r="C9" s="7"/>
      <c r="D9" s="7"/>
      <c r="E9" s="7"/>
      <c r="F9" s="7"/>
    </row>
    <row r="13" spans="2:7">
      <c r="B13" s="402" t="s">
        <v>79</v>
      </c>
      <c r="C13" s="402"/>
      <c r="D13" s="402"/>
      <c r="E13" s="402"/>
      <c r="F13" s="402"/>
    </row>
    <row r="14" spans="2:7" ht="38.25">
      <c r="B14" s="7" t="s">
        <v>80</v>
      </c>
      <c r="C14" s="7" t="s">
        <v>81</v>
      </c>
      <c r="D14" s="7" t="s">
        <v>82</v>
      </c>
      <c r="E14" s="7" t="s">
        <v>37</v>
      </c>
      <c r="F14" s="222" t="s">
        <v>83</v>
      </c>
      <c r="G14" s="13" t="s">
        <v>364</v>
      </c>
    </row>
    <row r="15" spans="2:7">
      <c r="B15" s="10" t="str">
        <f>Donnees_de_jeu!$C$6</f>
        <v>Scooter G1</v>
      </c>
      <c r="C15" s="7">
        <v>190</v>
      </c>
      <c r="D15" s="7">
        <v>2319</v>
      </c>
      <c r="E15" s="7">
        <v>2015</v>
      </c>
      <c r="F15" s="222">
        <v>494</v>
      </c>
      <c r="G15" s="13">
        <v>120</v>
      </c>
    </row>
    <row r="16" spans="2:7">
      <c r="B16" s="10" t="str">
        <f>Donnees_de_jeu!$C$7</f>
        <v>Scooter G2</v>
      </c>
      <c r="C16" s="7"/>
      <c r="D16" s="7"/>
      <c r="E16" s="7"/>
      <c r="F16" s="222"/>
      <c r="G16" s="13">
        <v>140</v>
      </c>
    </row>
    <row r="17" spans="2:7">
      <c r="B17" s="10" t="str">
        <f>Donnees_de_jeu!$C$8</f>
        <v>Scooter G3</v>
      </c>
      <c r="C17" s="7"/>
      <c r="D17" s="7"/>
      <c r="E17" s="7"/>
      <c r="F17" s="222"/>
      <c r="G17" s="13">
        <v>180</v>
      </c>
    </row>
  </sheetData>
  <mergeCells count="3">
    <mergeCell ref="B2:C2"/>
    <mergeCell ref="B6:F6"/>
    <mergeCell ref="B13:F13"/>
  </mergeCells>
  <pageMargins left="0" right="0" top="0.39370078740157505" bottom="0.39370078740157505" header="0" footer="0"/>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7"/>
  </sheetPr>
  <dimension ref="B2:K18"/>
  <sheetViews>
    <sheetView zoomScale="160" zoomScaleNormal="160" workbookViewId="0">
      <selection activeCell="K3" sqref="K3"/>
    </sheetView>
  </sheetViews>
  <sheetFormatPr baseColWidth="10" defaultRowHeight="12.75"/>
  <cols>
    <col min="1" max="1" width="12.140625" customWidth="1"/>
    <col min="2" max="2" width="16" customWidth="1"/>
    <col min="3" max="11" width="12.140625" customWidth="1"/>
    <col min="12" max="12" width="11.42578125" customWidth="1"/>
  </cols>
  <sheetData>
    <row r="2" spans="2:11" ht="38.25">
      <c r="B2" s="7" t="s">
        <v>80</v>
      </c>
      <c r="C2" s="7" t="s">
        <v>84</v>
      </c>
      <c r="D2" s="7" t="s">
        <v>85</v>
      </c>
      <c r="E2" s="7" t="s">
        <v>86</v>
      </c>
      <c r="F2" s="7" t="s">
        <v>87</v>
      </c>
      <c r="G2" s="7" t="s">
        <v>88</v>
      </c>
      <c r="H2" s="7" t="s">
        <v>89</v>
      </c>
      <c r="I2" s="7" t="s">
        <v>90</v>
      </c>
      <c r="J2" s="222" t="s">
        <v>91</v>
      </c>
      <c r="K2" s="28" t="str">
        <f>CONCATENATE("Rappel chiffre d'affaires ",Donnees_de_jeu!E6-1)</f>
        <v>Rappel chiffre d'affaires 2022</v>
      </c>
    </row>
    <row r="3" spans="2:11">
      <c r="B3" s="10" t="str">
        <f>Donnees_de_jeu!$C$6</f>
        <v>Scooter G1</v>
      </c>
      <c r="C3" s="7">
        <v>350</v>
      </c>
      <c r="D3" s="7">
        <v>350</v>
      </c>
      <c r="E3" s="236">
        <f>Données_comptables!E35</f>
        <v>40000</v>
      </c>
      <c r="F3" s="7">
        <v>40000</v>
      </c>
      <c r="G3" s="236">
        <f>Données_comptables!E38</f>
        <v>30000</v>
      </c>
      <c r="H3" s="7">
        <v>2</v>
      </c>
      <c r="I3" s="7">
        <v>2</v>
      </c>
      <c r="J3" s="222">
        <v>2015</v>
      </c>
      <c r="K3" s="270">
        <v>0</v>
      </c>
    </row>
    <row r="4" spans="2:11">
      <c r="B4" s="10" t="str">
        <f>Donnees_de_jeu!$C$7</f>
        <v>Scooter G2</v>
      </c>
      <c r="C4" s="7"/>
      <c r="D4" s="7"/>
      <c r="E4" s="236">
        <f>Données_comptables!E36</f>
        <v>0</v>
      </c>
      <c r="F4" s="7"/>
      <c r="G4" s="236">
        <f>Données_comptables!E39</f>
        <v>0</v>
      </c>
      <c r="H4" s="7"/>
      <c r="I4" s="7"/>
      <c r="J4" s="222"/>
      <c r="K4" s="270">
        <v>0</v>
      </c>
    </row>
    <row r="5" spans="2:11">
      <c r="B5" s="10" t="str">
        <f>Donnees_de_jeu!$C$8</f>
        <v>Scooter G3</v>
      </c>
      <c r="C5" s="7"/>
      <c r="D5" s="7"/>
      <c r="E5" s="236">
        <f>Données_comptables!E37</f>
        <v>0</v>
      </c>
      <c r="F5" s="7"/>
      <c r="G5" s="236">
        <f>Données_comptables!E40</f>
        <v>0</v>
      </c>
      <c r="H5" s="7"/>
      <c r="I5" s="7"/>
      <c r="J5" s="222"/>
      <c r="K5" s="270">
        <v>0</v>
      </c>
    </row>
    <row r="8" spans="2:11" ht="13.5" thickBot="1">
      <c r="B8" s="403" t="s">
        <v>92</v>
      </c>
      <c r="C8" s="404"/>
      <c r="D8" s="404"/>
      <c r="E8" s="403"/>
      <c r="F8" s="403"/>
      <c r="G8" s="403"/>
      <c r="H8" s="403"/>
      <c r="I8" s="403"/>
    </row>
    <row r="9" spans="2:11">
      <c r="B9" s="405"/>
      <c r="C9" s="406" t="str">
        <f>Donnees_de_jeu!$C$6</f>
        <v>Scooter G1</v>
      </c>
      <c r="D9" s="407"/>
      <c r="E9" s="406" t="str">
        <f>Donnees_de_jeu!$C$7</f>
        <v>Scooter G2</v>
      </c>
      <c r="F9" s="407"/>
      <c r="G9" s="406" t="str">
        <f>Donnees_de_jeu!$C$8</f>
        <v>Scooter G3</v>
      </c>
      <c r="H9" s="407"/>
      <c r="I9" s="408" t="s">
        <v>93</v>
      </c>
    </row>
    <row r="10" spans="2:11">
      <c r="B10" s="405"/>
      <c r="C10" s="19" t="s">
        <v>37</v>
      </c>
      <c r="D10" s="20" t="s">
        <v>94</v>
      </c>
      <c r="E10" s="19" t="s">
        <v>37</v>
      </c>
      <c r="F10" s="20" t="s">
        <v>94</v>
      </c>
      <c r="G10" s="19" t="s">
        <v>37</v>
      </c>
      <c r="H10" s="20" t="s">
        <v>94</v>
      </c>
      <c r="I10" s="408"/>
    </row>
    <row r="11" spans="2:11">
      <c r="B11" s="25" t="str">
        <f>Donnees_de_jeu!F11</f>
        <v>E1</v>
      </c>
      <c r="C11" s="19"/>
      <c r="D11" s="20"/>
      <c r="E11" s="19"/>
      <c r="F11" s="20"/>
      <c r="G11" s="19"/>
      <c r="H11" s="20"/>
      <c r="I11" s="1"/>
    </row>
    <row r="12" spans="2:11">
      <c r="B12" s="25" t="str">
        <f>Donnees_de_jeu!F12</f>
        <v>E2</v>
      </c>
      <c r="C12" s="19"/>
      <c r="D12" s="20"/>
      <c r="E12" s="19"/>
      <c r="F12" s="20"/>
      <c r="G12" s="19"/>
      <c r="H12" s="20"/>
      <c r="I12" s="1"/>
    </row>
    <row r="13" spans="2:11">
      <c r="B13" s="25" t="str">
        <f>Donnees_de_jeu!F13</f>
        <v>E3</v>
      </c>
      <c r="C13" s="19"/>
      <c r="D13" s="20"/>
      <c r="E13" s="19"/>
      <c r="F13" s="20"/>
      <c r="G13" s="19"/>
      <c r="H13" s="20"/>
      <c r="I13" s="1"/>
    </row>
    <row r="14" spans="2:11">
      <c r="B14" s="25" t="str">
        <f>Donnees_de_jeu!F14</f>
        <v>E4</v>
      </c>
      <c r="C14" s="19"/>
      <c r="D14" s="20"/>
      <c r="E14" s="19"/>
      <c r="F14" s="20"/>
      <c r="G14" s="19"/>
      <c r="H14" s="20"/>
      <c r="I14" s="1"/>
    </row>
    <row r="15" spans="2:11">
      <c r="B15" s="25" t="str">
        <f>Donnees_de_jeu!F15</f>
        <v>E5</v>
      </c>
      <c r="C15" s="19"/>
      <c r="D15" s="20"/>
      <c r="E15" s="19"/>
      <c r="F15" s="20"/>
      <c r="G15" s="19"/>
      <c r="H15" s="20"/>
      <c r="I15" s="1"/>
    </row>
    <row r="16" spans="2:11">
      <c r="B16" s="25" t="str">
        <f>Donnees_de_jeu!F16</f>
        <v>E6</v>
      </c>
      <c r="C16" s="19"/>
      <c r="D16" s="20"/>
      <c r="E16" s="19"/>
      <c r="F16" s="20"/>
      <c r="G16" s="19"/>
      <c r="H16" s="20"/>
      <c r="I16" s="1"/>
    </row>
    <row r="17" spans="2:9">
      <c r="B17" s="18" t="s">
        <v>97</v>
      </c>
      <c r="C17" s="19"/>
      <c r="D17" s="20"/>
      <c r="E17" s="19"/>
      <c r="F17" s="20"/>
      <c r="G17" s="19"/>
      <c r="H17" s="20"/>
      <c r="I17" s="6"/>
    </row>
    <row r="18" spans="2:9" ht="13.5" thickBot="1">
      <c r="B18" s="18" t="s">
        <v>98</v>
      </c>
      <c r="C18" s="21"/>
      <c r="D18" s="22"/>
      <c r="E18" s="21"/>
      <c r="F18" s="22"/>
      <c r="G18" s="21"/>
      <c r="H18" s="22"/>
      <c r="I18" s="1"/>
    </row>
  </sheetData>
  <mergeCells count="6">
    <mergeCell ref="B8:I8"/>
    <mergeCell ref="B9:B10"/>
    <mergeCell ref="C9:D9"/>
    <mergeCell ref="E9:F9"/>
    <mergeCell ref="G9:H9"/>
    <mergeCell ref="I9:I10"/>
  </mergeCells>
  <pageMargins left="0" right="0" top="0.39370078740157505" bottom="0.39370078740157505" header="0" footer="0"/>
  <pageSetup paperSize="9" orientation="portrait" r:id="rId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4">
    <tabColor theme="9"/>
  </sheetPr>
  <dimension ref="B1:N48"/>
  <sheetViews>
    <sheetView workbookViewId="0">
      <selection activeCell="G7" sqref="G7"/>
    </sheetView>
  </sheetViews>
  <sheetFormatPr baseColWidth="10" defaultRowHeight="12.75"/>
  <cols>
    <col min="2" max="2" width="25.7109375" style="14" customWidth="1"/>
    <col min="3" max="3" width="13.42578125" style="14" customWidth="1"/>
    <col min="4" max="5" width="12.85546875" style="14" bestFit="1" customWidth="1"/>
    <col min="6" max="6" width="12.85546875" customWidth="1"/>
    <col min="8" max="9" width="12.85546875" bestFit="1" customWidth="1"/>
    <col min="10" max="10" width="14.5703125" customWidth="1"/>
    <col min="11" max="11" width="13.7109375" customWidth="1"/>
    <col min="12" max="12" width="11.85546875" bestFit="1" customWidth="1"/>
    <col min="13" max="14" width="12.85546875" bestFit="1" customWidth="1"/>
  </cols>
  <sheetData>
    <row r="1" spans="2:14" ht="13.5" thickBot="1"/>
    <row r="2" spans="2:14" s="14" customFormat="1">
      <c r="B2" s="419" t="s">
        <v>304</v>
      </c>
      <c r="C2" s="421"/>
      <c r="D2" s="421"/>
      <c r="E2" s="421"/>
      <c r="F2" s="421"/>
      <c r="G2" s="421"/>
      <c r="H2" s="421"/>
      <c r="I2" s="420"/>
      <c r="J2" s="419" t="s">
        <v>305</v>
      </c>
      <c r="K2" s="420"/>
      <c r="L2" s="419" t="s">
        <v>306</v>
      </c>
      <c r="M2" s="421"/>
      <c r="N2" s="420"/>
    </row>
    <row r="3" spans="2:14" ht="51">
      <c r="B3" s="194" t="s">
        <v>307</v>
      </c>
      <c r="C3" s="195"/>
      <c r="D3" s="409">
        <f>Donnees_de_jeu!E6</f>
        <v>2023</v>
      </c>
      <c r="E3" s="410"/>
      <c r="F3" s="196" t="s">
        <v>308</v>
      </c>
      <c r="G3" s="196" t="s">
        <v>309</v>
      </c>
      <c r="H3" s="196" t="s">
        <v>310</v>
      </c>
      <c r="I3" s="197">
        <f>Donnees_de_jeu!E6</f>
        <v>2023</v>
      </c>
      <c r="J3" s="198" t="s">
        <v>311</v>
      </c>
      <c r="K3" s="199" t="s">
        <v>312</v>
      </c>
      <c r="L3" s="198" t="s">
        <v>222</v>
      </c>
      <c r="M3" s="200" t="s">
        <v>313</v>
      </c>
      <c r="N3" s="199" t="s">
        <v>314</v>
      </c>
    </row>
    <row r="4" spans="2:14">
      <c r="B4" s="135" t="s">
        <v>34</v>
      </c>
      <c r="C4" s="192"/>
      <c r="D4" s="136">
        <f t="shared" ref="D4:N4" si="0">SUM(D5:D28)</f>
        <v>507388</v>
      </c>
      <c r="E4" s="137">
        <f t="shared" si="0"/>
        <v>507388</v>
      </c>
      <c r="F4" s="138">
        <f t="shared" si="0"/>
        <v>0</v>
      </c>
      <c r="G4" s="139">
        <f t="shared" si="0"/>
        <v>0</v>
      </c>
      <c r="H4" s="140">
        <f t="shared" si="0"/>
        <v>507388</v>
      </c>
      <c r="I4" s="141">
        <f t="shared" si="0"/>
        <v>507388</v>
      </c>
      <c r="J4" s="142">
        <f t="shared" si="0"/>
        <v>258688</v>
      </c>
      <c r="K4" s="141">
        <f t="shared" si="0"/>
        <v>248700</v>
      </c>
      <c r="L4" s="143">
        <f t="shared" si="0"/>
        <v>98688</v>
      </c>
      <c r="M4" s="144">
        <f t="shared" si="0"/>
        <v>160000</v>
      </c>
      <c r="N4" s="141">
        <f t="shared" si="0"/>
        <v>248700</v>
      </c>
    </row>
    <row r="5" spans="2:14">
      <c r="B5" s="414" t="s">
        <v>36</v>
      </c>
      <c r="C5" s="10" t="str">
        <f>Données_comptables!$C$26</f>
        <v>Scooter G1</v>
      </c>
      <c r="D5" s="411">
        <f>SUM(E5:E7)</f>
        <v>92760</v>
      </c>
      <c r="E5" s="145">
        <f>Données_comptables!E26</f>
        <v>92760</v>
      </c>
      <c r="F5" s="95"/>
      <c r="G5" s="95"/>
      <c r="H5" s="411">
        <f>SUM(I5:I7)</f>
        <v>92760</v>
      </c>
      <c r="I5" s="146">
        <f>E5-F5+G5</f>
        <v>92760</v>
      </c>
      <c r="J5" s="215">
        <f>I5</f>
        <v>92760</v>
      </c>
      <c r="K5" s="148"/>
      <c r="L5" s="147">
        <f>I5</f>
        <v>92760</v>
      </c>
      <c r="M5" s="95"/>
      <c r="N5" s="148"/>
    </row>
    <row r="6" spans="2:14">
      <c r="B6" s="415"/>
      <c r="C6" s="10" t="str">
        <f>Données_comptables!$C$27</f>
        <v>Scooter G2</v>
      </c>
      <c r="D6" s="412"/>
      <c r="E6" s="145">
        <f>Données_comptables!E27</f>
        <v>0</v>
      </c>
      <c r="F6" s="95"/>
      <c r="G6" s="95"/>
      <c r="H6" s="412"/>
      <c r="I6" s="146">
        <f t="shared" ref="I6:I32" si="1">E6-F6+G6</f>
        <v>0</v>
      </c>
      <c r="J6" s="215">
        <f t="shared" ref="J6:J25" si="2">I6</f>
        <v>0</v>
      </c>
      <c r="K6" s="148"/>
      <c r="L6" s="147">
        <f t="shared" ref="L6:L7" si="3">I6</f>
        <v>0</v>
      </c>
      <c r="M6" s="95"/>
      <c r="N6" s="148"/>
    </row>
    <row r="7" spans="2:14">
      <c r="B7" s="416"/>
      <c r="C7" s="10" t="str">
        <f>Données_comptables!$C$28</f>
        <v>Scooter G3</v>
      </c>
      <c r="D7" s="413"/>
      <c r="E7" s="145">
        <f>Données_comptables!E28</f>
        <v>0</v>
      </c>
      <c r="F7" s="95"/>
      <c r="G7" s="95"/>
      <c r="H7" s="413"/>
      <c r="I7" s="146">
        <f t="shared" si="1"/>
        <v>0</v>
      </c>
      <c r="J7" s="215">
        <f t="shared" si="2"/>
        <v>0</v>
      </c>
      <c r="K7" s="148"/>
      <c r="L7" s="147">
        <f t="shared" si="3"/>
        <v>0</v>
      </c>
      <c r="M7" s="95"/>
      <c r="N7" s="148"/>
    </row>
    <row r="8" spans="2:14">
      <c r="B8" s="414" t="s">
        <v>38</v>
      </c>
      <c r="C8" s="10" t="str">
        <f>Données_comptables!$C$26</f>
        <v>Scooter G1</v>
      </c>
      <c r="D8" s="411">
        <f t="shared" ref="D8" si="4">SUM(E8:E10)</f>
        <v>30000</v>
      </c>
      <c r="E8" s="145">
        <f>Données_comptables!E29</f>
        <v>30000</v>
      </c>
      <c r="F8" s="95"/>
      <c r="G8" s="95"/>
      <c r="H8" s="411">
        <f t="shared" ref="H8" si="5">SUM(I8:I10)</f>
        <v>30000</v>
      </c>
      <c r="I8" s="146">
        <f t="shared" si="1"/>
        <v>30000</v>
      </c>
      <c r="J8" s="215">
        <f t="shared" si="2"/>
        <v>30000</v>
      </c>
      <c r="K8" s="148"/>
      <c r="L8" s="147"/>
      <c r="M8" s="95">
        <f>I8</f>
        <v>30000</v>
      </c>
      <c r="N8" s="148"/>
    </row>
    <row r="9" spans="2:14">
      <c r="B9" s="415"/>
      <c r="C9" s="10" t="str">
        <f>Données_comptables!$C$27</f>
        <v>Scooter G2</v>
      </c>
      <c r="D9" s="412"/>
      <c r="E9" s="145">
        <f>Données_comptables!E30</f>
        <v>0</v>
      </c>
      <c r="F9" s="95"/>
      <c r="G9" s="95"/>
      <c r="H9" s="412"/>
      <c r="I9" s="146">
        <f t="shared" si="1"/>
        <v>0</v>
      </c>
      <c r="J9" s="215">
        <f t="shared" si="2"/>
        <v>0</v>
      </c>
      <c r="K9" s="148"/>
      <c r="L9" s="147"/>
      <c r="M9" s="95">
        <f t="shared" ref="M9:M19" si="6">I9</f>
        <v>0</v>
      </c>
      <c r="N9" s="148"/>
    </row>
    <row r="10" spans="2:14">
      <c r="B10" s="416"/>
      <c r="C10" s="10" t="str">
        <f>Données_comptables!$C$28</f>
        <v>Scooter G3</v>
      </c>
      <c r="D10" s="413"/>
      <c r="E10" s="145">
        <f>Données_comptables!E31</f>
        <v>0</v>
      </c>
      <c r="F10" s="95"/>
      <c r="G10" s="95"/>
      <c r="H10" s="413"/>
      <c r="I10" s="146">
        <f t="shared" si="1"/>
        <v>0</v>
      </c>
      <c r="J10" s="215">
        <f t="shared" si="2"/>
        <v>0</v>
      </c>
      <c r="K10" s="148"/>
      <c r="L10" s="147"/>
      <c r="M10" s="95">
        <f t="shared" si="6"/>
        <v>0</v>
      </c>
      <c r="N10" s="148"/>
    </row>
    <row r="11" spans="2:14" ht="13.5" customHeight="1">
      <c r="B11" s="414" t="s">
        <v>40</v>
      </c>
      <c r="C11" s="10" t="str">
        <f>Données_comptables!$C$26</f>
        <v>Scooter G1</v>
      </c>
      <c r="D11" s="411">
        <f>SUM(E11:E13)</f>
        <v>60000</v>
      </c>
      <c r="E11" s="145">
        <f>Données_comptables!E32</f>
        <v>60000</v>
      </c>
      <c r="F11" s="95"/>
      <c r="G11" s="95"/>
      <c r="H11" s="411">
        <f>SUM(I11:I13)</f>
        <v>60000</v>
      </c>
      <c r="I11" s="146">
        <f t="shared" si="1"/>
        <v>60000</v>
      </c>
      <c r="J11" s="215">
        <f t="shared" si="2"/>
        <v>60000</v>
      </c>
      <c r="K11" s="148"/>
      <c r="L11" s="147"/>
      <c r="M11" s="95">
        <f t="shared" si="6"/>
        <v>60000</v>
      </c>
      <c r="N11" s="148"/>
    </row>
    <row r="12" spans="2:14">
      <c r="B12" s="415"/>
      <c r="C12" s="10" t="str">
        <f>Données_comptables!$C$27</f>
        <v>Scooter G2</v>
      </c>
      <c r="D12" s="412"/>
      <c r="E12" s="145">
        <f>Données_comptables!E33</f>
        <v>0</v>
      </c>
      <c r="F12" s="95"/>
      <c r="G12" s="95"/>
      <c r="H12" s="412"/>
      <c r="I12" s="146">
        <f t="shared" si="1"/>
        <v>0</v>
      </c>
      <c r="J12" s="215">
        <f t="shared" si="2"/>
        <v>0</v>
      </c>
      <c r="K12" s="148"/>
      <c r="L12" s="147"/>
      <c r="M12" s="95">
        <f t="shared" si="6"/>
        <v>0</v>
      </c>
      <c r="N12" s="148"/>
    </row>
    <row r="13" spans="2:14">
      <c r="B13" s="416"/>
      <c r="C13" s="10" t="str">
        <f>Données_comptables!$C$28</f>
        <v>Scooter G3</v>
      </c>
      <c r="D13" s="413"/>
      <c r="E13" s="145">
        <f>Données_comptables!E34</f>
        <v>0</v>
      </c>
      <c r="F13" s="95"/>
      <c r="G13" s="95"/>
      <c r="H13" s="413"/>
      <c r="I13" s="146">
        <f t="shared" si="1"/>
        <v>0</v>
      </c>
      <c r="J13" s="215">
        <f t="shared" si="2"/>
        <v>0</v>
      </c>
      <c r="K13" s="148"/>
      <c r="L13" s="147"/>
      <c r="M13" s="95">
        <f t="shared" si="6"/>
        <v>0</v>
      </c>
      <c r="N13" s="148"/>
    </row>
    <row r="14" spans="2:14">
      <c r="B14" s="414" t="s">
        <v>41</v>
      </c>
      <c r="C14" s="10" t="str">
        <f>Données_comptables!$C$26</f>
        <v>Scooter G1</v>
      </c>
      <c r="D14" s="411">
        <f t="shared" ref="D14" si="7">SUM(E14:E16)</f>
        <v>40000</v>
      </c>
      <c r="E14" s="145">
        <f>Données_comptables!E35</f>
        <v>40000</v>
      </c>
      <c r="F14" s="95"/>
      <c r="G14" s="95"/>
      <c r="H14" s="411">
        <f t="shared" ref="H14" si="8">SUM(I14:I16)</f>
        <v>40000</v>
      </c>
      <c r="I14" s="146">
        <f t="shared" si="1"/>
        <v>40000</v>
      </c>
      <c r="J14" s="215">
        <f t="shared" si="2"/>
        <v>40000</v>
      </c>
      <c r="K14" s="148"/>
      <c r="L14" s="147"/>
      <c r="M14" s="95">
        <f t="shared" si="6"/>
        <v>40000</v>
      </c>
      <c r="N14" s="148"/>
    </row>
    <row r="15" spans="2:14">
      <c r="B15" s="415"/>
      <c r="C15" s="10" t="str">
        <f>Données_comptables!$C$27</f>
        <v>Scooter G2</v>
      </c>
      <c r="D15" s="412"/>
      <c r="E15" s="145">
        <f>Données_comptables!E36</f>
        <v>0</v>
      </c>
      <c r="F15" s="95"/>
      <c r="G15" s="95"/>
      <c r="H15" s="412"/>
      <c r="I15" s="146">
        <f t="shared" si="1"/>
        <v>0</v>
      </c>
      <c r="J15" s="215">
        <f t="shared" si="2"/>
        <v>0</v>
      </c>
      <c r="K15" s="148"/>
      <c r="L15" s="147"/>
      <c r="M15" s="95">
        <f t="shared" si="6"/>
        <v>0</v>
      </c>
      <c r="N15" s="148"/>
    </row>
    <row r="16" spans="2:14">
      <c r="B16" s="416"/>
      <c r="C16" s="10" t="str">
        <f>Données_comptables!$C$28</f>
        <v>Scooter G3</v>
      </c>
      <c r="D16" s="413"/>
      <c r="E16" s="145">
        <f>Données_comptables!E37</f>
        <v>0</v>
      </c>
      <c r="F16" s="95"/>
      <c r="G16" s="95"/>
      <c r="H16" s="413"/>
      <c r="I16" s="146">
        <f t="shared" si="1"/>
        <v>0</v>
      </c>
      <c r="J16" s="215">
        <f t="shared" si="2"/>
        <v>0</v>
      </c>
      <c r="K16" s="148"/>
      <c r="L16" s="147"/>
      <c r="M16" s="95">
        <f t="shared" si="6"/>
        <v>0</v>
      </c>
      <c r="N16" s="148"/>
    </row>
    <row r="17" spans="2:14">
      <c r="B17" s="414" t="s">
        <v>42</v>
      </c>
      <c r="C17" s="10" t="str">
        <f>Données_comptables!$C$26</f>
        <v>Scooter G1</v>
      </c>
      <c r="D17" s="411">
        <f t="shared" ref="D17" si="9">SUM(E17:E19)</f>
        <v>30000</v>
      </c>
      <c r="E17" s="145">
        <f>Données_comptables!E38</f>
        <v>30000</v>
      </c>
      <c r="F17" s="95"/>
      <c r="G17" s="95"/>
      <c r="H17" s="411">
        <f t="shared" ref="H17" si="10">SUM(I17:I19)</f>
        <v>30000</v>
      </c>
      <c r="I17" s="146">
        <f t="shared" si="1"/>
        <v>30000</v>
      </c>
      <c r="J17" s="215">
        <f t="shared" si="2"/>
        <v>30000</v>
      </c>
      <c r="K17" s="148"/>
      <c r="L17" s="147"/>
      <c r="M17" s="95">
        <f t="shared" si="6"/>
        <v>30000</v>
      </c>
      <c r="N17" s="148"/>
    </row>
    <row r="18" spans="2:14">
      <c r="B18" s="415"/>
      <c r="C18" s="10" t="str">
        <f>Données_comptables!$C$27</f>
        <v>Scooter G2</v>
      </c>
      <c r="D18" s="412"/>
      <c r="E18" s="145">
        <f>Données_comptables!E39</f>
        <v>0</v>
      </c>
      <c r="F18" s="95"/>
      <c r="G18" s="95"/>
      <c r="H18" s="412"/>
      <c r="I18" s="146">
        <f t="shared" si="1"/>
        <v>0</v>
      </c>
      <c r="J18" s="215">
        <f t="shared" si="2"/>
        <v>0</v>
      </c>
      <c r="K18" s="148"/>
      <c r="L18" s="147"/>
      <c r="M18" s="95">
        <f t="shared" si="6"/>
        <v>0</v>
      </c>
      <c r="N18" s="148"/>
    </row>
    <row r="19" spans="2:14">
      <c r="B19" s="416"/>
      <c r="C19" s="10" t="str">
        <f>Données_comptables!$C$28</f>
        <v>Scooter G3</v>
      </c>
      <c r="D19" s="413"/>
      <c r="E19" s="145">
        <f>Données_comptables!E40</f>
        <v>0</v>
      </c>
      <c r="F19" s="95"/>
      <c r="G19" s="95"/>
      <c r="H19" s="413"/>
      <c r="I19" s="146">
        <f t="shared" si="1"/>
        <v>0</v>
      </c>
      <c r="J19" s="215">
        <f t="shared" si="2"/>
        <v>0</v>
      </c>
      <c r="K19" s="148"/>
      <c r="L19" s="147"/>
      <c r="M19" s="95">
        <f t="shared" si="6"/>
        <v>0</v>
      </c>
      <c r="N19" s="148"/>
    </row>
    <row r="20" spans="2:14">
      <c r="B20" s="414" t="s">
        <v>43</v>
      </c>
      <c r="C20" s="10" t="str">
        <f>Données_comptables!$C$26</f>
        <v>Scooter G1</v>
      </c>
      <c r="D20" s="411">
        <f t="shared" ref="D20" si="11">SUM(E20:E22)</f>
        <v>5928</v>
      </c>
      <c r="E20" s="145">
        <f>Données_comptables!E41</f>
        <v>5928</v>
      </c>
      <c r="F20" s="95"/>
      <c r="G20" s="95"/>
      <c r="H20" s="411">
        <f t="shared" ref="H20" si="12">SUM(I20:I22)</f>
        <v>5928</v>
      </c>
      <c r="I20" s="146">
        <f t="shared" si="1"/>
        <v>5928</v>
      </c>
      <c r="J20" s="215">
        <f t="shared" si="2"/>
        <v>5928</v>
      </c>
      <c r="K20" s="148"/>
      <c r="L20" s="147">
        <f t="shared" ref="L20:L25" si="13">I20</f>
        <v>5928</v>
      </c>
      <c r="M20" s="95"/>
      <c r="N20" s="148"/>
    </row>
    <row r="21" spans="2:14">
      <c r="B21" s="415"/>
      <c r="C21" s="10" t="str">
        <f>Données_comptables!$C$27</f>
        <v>Scooter G2</v>
      </c>
      <c r="D21" s="412"/>
      <c r="E21" s="145">
        <f>Données_comptables!E42</f>
        <v>0</v>
      </c>
      <c r="F21" s="95"/>
      <c r="G21" s="95"/>
      <c r="H21" s="412"/>
      <c r="I21" s="146">
        <f t="shared" si="1"/>
        <v>0</v>
      </c>
      <c r="J21" s="215">
        <f t="shared" si="2"/>
        <v>0</v>
      </c>
      <c r="K21" s="148"/>
      <c r="L21" s="147">
        <f t="shared" si="13"/>
        <v>0</v>
      </c>
      <c r="M21" s="95"/>
      <c r="N21" s="148"/>
    </row>
    <row r="22" spans="2:14">
      <c r="B22" s="416"/>
      <c r="C22" s="10" t="str">
        <f>Données_comptables!$C$28</f>
        <v>Scooter G3</v>
      </c>
      <c r="D22" s="413"/>
      <c r="E22" s="145">
        <f>Données_comptables!E43</f>
        <v>0</v>
      </c>
      <c r="F22" s="95"/>
      <c r="G22" s="95"/>
      <c r="H22" s="413"/>
      <c r="I22" s="146">
        <f t="shared" si="1"/>
        <v>0</v>
      </c>
      <c r="J22" s="215">
        <f t="shared" si="2"/>
        <v>0</v>
      </c>
      <c r="K22" s="148"/>
      <c r="L22" s="147">
        <f t="shared" si="13"/>
        <v>0</v>
      </c>
      <c r="M22" s="95"/>
      <c r="N22" s="148"/>
    </row>
    <row r="23" spans="2:14">
      <c r="B23" s="414" t="s">
        <v>44</v>
      </c>
      <c r="C23" s="10" t="str">
        <f>Données_comptables!$C$26</f>
        <v>Scooter G1</v>
      </c>
      <c r="D23" s="411">
        <f>SUM(E23:E25)</f>
        <v>0</v>
      </c>
      <c r="E23" s="145">
        <f>Données_comptables!E44</f>
        <v>0</v>
      </c>
      <c r="F23" s="95"/>
      <c r="G23" s="95"/>
      <c r="H23" s="411">
        <f>SUM(I23:I25)</f>
        <v>0</v>
      </c>
      <c r="I23" s="146">
        <f t="shared" si="1"/>
        <v>0</v>
      </c>
      <c r="J23" s="215">
        <f t="shared" si="2"/>
        <v>0</v>
      </c>
      <c r="K23" s="148"/>
      <c r="L23" s="147">
        <f t="shared" si="13"/>
        <v>0</v>
      </c>
      <c r="M23" s="95"/>
      <c r="N23" s="148"/>
    </row>
    <row r="24" spans="2:14">
      <c r="B24" s="415"/>
      <c r="C24" s="10" t="str">
        <f>Données_comptables!$C$27</f>
        <v>Scooter G2</v>
      </c>
      <c r="D24" s="412"/>
      <c r="E24" s="145">
        <f>Données_comptables!E45</f>
        <v>0</v>
      </c>
      <c r="F24" s="95"/>
      <c r="G24" s="95"/>
      <c r="H24" s="412"/>
      <c r="I24" s="146">
        <f t="shared" si="1"/>
        <v>0</v>
      </c>
      <c r="J24" s="215">
        <f t="shared" si="2"/>
        <v>0</v>
      </c>
      <c r="K24" s="148"/>
      <c r="L24" s="147">
        <f t="shared" si="13"/>
        <v>0</v>
      </c>
      <c r="M24" s="95"/>
      <c r="N24" s="148"/>
    </row>
    <row r="25" spans="2:14">
      <c r="B25" s="416"/>
      <c r="C25" s="10" t="str">
        <f>Données_comptables!$C$28</f>
        <v>Scooter G3</v>
      </c>
      <c r="D25" s="413"/>
      <c r="E25" s="145">
        <f>Données_comptables!E46</f>
        <v>0</v>
      </c>
      <c r="F25" s="95"/>
      <c r="G25" s="95"/>
      <c r="H25" s="413"/>
      <c r="I25" s="146">
        <f t="shared" si="1"/>
        <v>0</v>
      </c>
      <c r="J25" s="215">
        <f t="shared" si="2"/>
        <v>0</v>
      </c>
      <c r="K25" s="148"/>
      <c r="L25" s="147">
        <f t="shared" si="13"/>
        <v>0</v>
      </c>
      <c r="M25" s="95"/>
      <c r="N25" s="148"/>
    </row>
    <row r="26" spans="2:14">
      <c r="B26" s="149" t="s">
        <v>45</v>
      </c>
      <c r="C26" s="155"/>
      <c r="D26" s="150">
        <f>E26</f>
        <v>188700</v>
      </c>
      <c r="E26" s="145">
        <f>Données_comptables!E47</f>
        <v>188700</v>
      </c>
      <c r="F26" s="95"/>
      <c r="G26" s="95"/>
      <c r="H26" s="151">
        <f>I26</f>
        <v>188700</v>
      </c>
      <c r="I26" s="146">
        <f t="shared" si="1"/>
        <v>188700</v>
      </c>
      <c r="J26" s="147"/>
      <c r="K26" s="214">
        <f>I26</f>
        <v>188700</v>
      </c>
      <c r="L26" s="147"/>
      <c r="M26" s="95"/>
      <c r="N26" s="148">
        <f>I26</f>
        <v>188700</v>
      </c>
    </row>
    <row r="27" spans="2:14" ht="25.5">
      <c r="B27" s="414" t="s">
        <v>46</v>
      </c>
      <c r="C27" s="9" t="str">
        <f>CONCATENATE("Machine(s) ", Donnees_de_jeu!$C$11, "(s)")</f>
        <v>Machine(s) Classique(s)</v>
      </c>
      <c r="D27" s="411">
        <f>SUM(E27:E28)</f>
        <v>60000</v>
      </c>
      <c r="E27" s="145">
        <f>Données_comptables!E48</f>
        <v>60000</v>
      </c>
      <c r="F27" s="95"/>
      <c r="G27" s="95"/>
      <c r="H27" s="411">
        <f>SUM(I27:I28)</f>
        <v>60000</v>
      </c>
      <c r="I27" s="146">
        <f t="shared" si="1"/>
        <v>60000</v>
      </c>
      <c r="J27" s="147"/>
      <c r="K27" s="214">
        <f t="shared" ref="K27:K30" si="14">I27</f>
        <v>60000</v>
      </c>
      <c r="L27" s="147"/>
      <c r="M27" s="95"/>
      <c r="N27" s="148">
        <f t="shared" ref="N27:N30" si="15">I27</f>
        <v>60000</v>
      </c>
    </row>
    <row r="28" spans="2:14" ht="25.5">
      <c r="B28" s="415"/>
      <c r="C28" s="238" t="str">
        <f>CONCATENATE("Machine(s) ",Donnees_de_jeu!$C$12,"(s)")</f>
        <v>Machine(s) Moderne(s)</v>
      </c>
      <c r="D28" s="413"/>
      <c r="E28" s="186">
        <f>Données_comptables!E49</f>
        <v>0</v>
      </c>
      <c r="F28" s="242"/>
      <c r="G28" s="95"/>
      <c r="H28" s="413"/>
      <c r="I28" s="146">
        <f t="shared" si="1"/>
        <v>0</v>
      </c>
      <c r="J28" s="147"/>
      <c r="K28" s="214">
        <f t="shared" si="14"/>
        <v>0</v>
      </c>
      <c r="L28" s="147"/>
      <c r="M28" s="95"/>
      <c r="N28" s="148">
        <f t="shared" si="15"/>
        <v>0</v>
      </c>
    </row>
    <row r="29" spans="2:14" ht="25.5">
      <c r="B29" s="149" t="str">
        <f>Données_comptables!B50</f>
        <v>Etudes (motivation d'achat &amp; prévision ventes)</v>
      </c>
      <c r="C29" s="155"/>
      <c r="D29" s="241">
        <f>E29</f>
        <v>30000</v>
      </c>
      <c r="E29" s="187">
        <f>Données_comptables!E50</f>
        <v>30000</v>
      </c>
      <c r="F29" s="95"/>
      <c r="G29" s="95"/>
      <c r="H29" s="237">
        <f>I29</f>
        <v>30000</v>
      </c>
      <c r="I29" s="146">
        <f t="shared" si="1"/>
        <v>30000</v>
      </c>
      <c r="J29" s="147"/>
      <c r="K29" s="214">
        <f t="shared" si="14"/>
        <v>30000</v>
      </c>
      <c r="L29" s="147"/>
      <c r="M29" s="95"/>
      <c r="N29" s="148">
        <f t="shared" si="15"/>
        <v>30000</v>
      </c>
    </row>
    <row r="30" spans="2:14">
      <c r="B30" s="149" t="str">
        <f>Données_comptables!B51</f>
        <v>Budget R &amp; D</v>
      </c>
      <c r="C30" s="155"/>
      <c r="D30" s="241">
        <f>E30</f>
        <v>70000</v>
      </c>
      <c r="E30" s="187">
        <f>Données_comptables!E51</f>
        <v>70000</v>
      </c>
      <c r="F30" s="95"/>
      <c r="G30" s="95"/>
      <c r="H30" s="237">
        <f>I30</f>
        <v>70000</v>
      </c>
      <c r="I30" s="146">
        <f t="shared" si="1"/>
        <v>70000</v>
      </c>
      <c r="J30" s="147"/>
      <c r="K30" s="214">
        <f t="shared" si="14"/>
        <v>70000</v>
      </c>
      <c r="L30" s="147"/>
      <c r="M30" s="95"/>
      <c r="N30" s="148">
        <f t="shared" si="15"/>
        <v>70000</v>
      </c>
    </row>
    <row r="31" spans="2:14">
      <c r="B31" s="239" t="s">
        <v>47</v>
      </c>
      <c r="C31" s="240"/>
      <c r="D31" s="136">
        <f t="shared" ref="D31:N31" si="16">SUM(D32:D41)</f>
        <v>50029</v>
      </c>
      <c r="E31" s="138">
        <f t="shared" si="16"/>
        <v>50029</v>
      </c>
      <c r="F31" s="138">
        <f t="shared" si="16"/>
        <v>49102</v>
      </c>
      <c r="G31" s="144">
        <f t="shared" si="16"/>
        <v>0</v>
      </c>
      <c r="H31" s="152">
        <f t="shared" si="16"/>
        <v>927</v>
      </c>
      <c r="I31" s="141">
        <f t="shared" si="16"/>
        <v>927</v>
      </c>
      <c r="J31" s="142">
        <f t="shared" si="16"/>
        <v>0</v>
      </c>
      <c r="K31" s="141">
        <f t="shared" si="16"/>
        <v>927</v>
      </c>
      <c r="L31" s="143">
        <f t="shared" si="16"/>
        <v>0</v>
      </c>
      <c r="M31" s="144">
        <f t="shared" si="16"/>
        <v>0</v>
      </c>
      <c r="N31" s="141">
        <f t="shared" si="16"/>
        <v>927</v>
      </c>
    </row>
    <row r="32" spans="2:14">
      <c r="B32" s="149" t="s">
        <v>49</v>
      </c>
      <c r="C32" s="155"/>
      <c r="D32" s="150">
        <f>E32</f>
        <v>927</v>
      </c>
      <c r="E32" s="145">
        <f>Données_comptables!E53</f>
        <v>927</v>
      </c>
      <c r="F32" s="95"/>
      <c r="G32" s="95"/>
      <c r="H32" s="151">
        <f>I32</f>
        <v>927</v>
      </c>
      <c r="I32" s="146">
        <f t="shared" si="1"/>
        <v>927</v>
      </c>
      <c r="J32" s="147"/>
      <c r="K32" s="214">
        <f>I32</f>
        <v>927</v>
      </c>
      <c r="L32" s="147"/>
      <c r="M32" s="95"/>
      <c r="N32" s="148">
        <f>I32</f>
        <v>927</v>
      </c>
    </row>
    <row r="33" spans="2:14">
      <c r="B33" s="149" t="s">
        <v>51</v>
      </c>
      <c r="C33" s="155"/>
      <c r="D33" s="150">
        <f t="shared" ref="D33" si="17">E33</f>
        <v>0</v>
      </c>
      <c r="E33" s="186">
        <f>Données_comptables!E54</f>
        <v>0</v>
      </c>
      <c r="F33" s="95"/>
      <c r="G33" s="95"/>
      <c r="H33" s="151">
        <f t="shared" ref="H33" si="18">I33</f>
        <v>0</v>
      </c>
      <c r="I33" s="146">
        <f>E33-F33+G33</f>
        <v>0</v>
      </c>
      <c r="J33" s="147"/>
      <c r="K33" s="214">
        <f>I33</f>
        <v>0</v>
      </c>
      <c r="L33" s="147"/>
      <c r="M33" s="95"/>
      <c r="N33" s="148">
        <f t="shared" ref="N33" si="19">I33</f>
        <v>0</v>
      </c>
    </row>
    <row r="34" spans="2:14" ht="12.75" customHeight="1">
      <c r="B34" s="149" t="s">
        <v>321</v>
      </c>
      <c r="C34" s="155"/>
      <c r="D34" s="161">
        <f>E34</f>
        <v>0</v>
      </c>
      <c r="E34" s="187">
        <f>Données_comptables!E55</f>
        <v>0</v>
      </c>
      <c r="F34" s="185"/>
      <c r="G34" s="95"/>
      <c r="H34" s="151">
        <f t="shared" ref="H34" si="20">I34</f>
        <v>0</v>
      </c>
      <c r="I34" s="146">
        <f>E34-F34+G34</f>
        <v>0</v>
      </c>
      <c r="J34" s="188"/>
      <c r="K34" s="214">
        <f>I34</f>
        <v>0</v>
      </c>
      <c r="L34" s="147"/>
      <c r="M34" s="95"/>
      <c r="N34" s="148">
        <f>I34</f>
        <v>0</v>
      </c>
    </row>
    <row r="35" spans="2:14">
      <c r="B35" s="135" t="s">
        <v>52</v>
      </c>
      <c r="C35" s="192"/>
      <c r="D35" s="136">
        <f>SUM(D36:D38)</f>
        <v>0</v>
      </c>
      <c r="E35" s="138">
        <f>SUM(E36:E38)</f>
        <v>0</v>
      </c>
      <c r="F35" s="137">
        <f t="shared" ref="F35:G35" si="21">SUM(F36:F38)</f>
        <v>0</v>
      </c>
      <c r="G35" s="144">
        <f t="shared" si="21"/>
        <v>0</v>
      </c>
      <c r="H35" s="152">
        <f>SUM(H36:H38)</f>
        <v>0</v>
      </c>
      <c r="I35" s="141">
        <f>SUM(I36:I38)</f>
        <v>0</v>
      </c>
      <c r="J35" s="156"/>
      <c r="K35" s="157"/>
      <c r="L35" s="158"/>
      <c r="M35" s="159"/>
      <c r="N35" s="160"/>
    </row>
    <row r="36" spans="2:14" ht="25.5" customHeight="1">
      <c r="B36" s="417" t="s">
        <v>215</v>
      </c>
      <c r="C36" s="9" t="str">
        <f>CONCATENATE("Machine(s) ", Donnees_de_jeu!$C$11, "(s)")</f>
        <v>Machine(s) Classique(s)</v>
      </c>
      <c r="D36" s="411">
        <f>E36+E37</f>
        <v>0</v>
      </c>
      <c r="E36" s="161">
        <f>Données_comptables!E57</f>
        <v>0</v>
      </c>
      <c r="F36" s="95">
        <f>D36</f>
        <v>0</v>
      </c>
      <c r="G36" s="95"/>
      <c r="H36" s="411">
        <f>I36+I37</f>
        <v>0</v>
      </c>
      <c r="I36" s="146">
        <f t="shared" ref="I36:I38" si="22">E36-F36+G36</f>
        <v>0</v>
      </c>
      <c r="J36" s="153"/>
      <c r="K36" s="154"/>
      <c r="L36" s="153"/>
      <c r="M36" s="155"/>
      <c r="N36" s="154"/>
    </row>
    <row r="37" spans="2:14" ht="25.5">
      <c r="B37" s="418"/>
      <c r="C37" s="9" t="str">
        <f>CONCATENATE("Machine(s) ",Donnees_de_jeu!$C$12,"(s)")</f>
        <v>Machine(s) Moderne(s)</v>
      </c>
      <c r="D37" s="413"/>
      <c r="E37" s="161">
        <f>Données_comptables!E58</f>
        <v>0</v>
      </c>
      <c r="F37" s="95"/>
      <c r="G37" s="95"/>
      <c r="H37" s="413"/>
      <c r="I37" s="146"/>
      <c r="J37" s="153"/>
      <c r="K37" s="154"/>
      <c r="L37" s="153"/>
      <c r="M37" s="155"/>
      <c r="N37" s="154"/>
    </row>
    <row r="38" spans="2:14" ht="13.5" customHeight="1">
      <c r="B38" s="414" t="s">
        <v>213</v>
      </c>
      <c r="C38" s="10" t="str">
        <f>Données_comptables!$C$26</f>
        <v>Scooter G1</v>
      </c>
      <c r="D38" s="411">
        <f>E38+E39+E40</f>
        <v>0</v>
      </c>
      <c r="E38" s="161">
        <f>Données_comptables!E59</f>
        <v>0</v>
      </c>
      <c r="F38" s="95">
        <f>D38</f>
        <v>0</v>
      </c>
      <c r="G38" s="95"/>
      <c r="H38" s="411">
        <f>I38+I39+I40</f>
        <v>0</v>
      </c>
      <c r="I38" s="146">
        <f t="shared" si="22"/>
        <v>0</v>
      </c>
      <c r="J38" s="153"/>
      <c r="K38" s="154"/>
      <c r="L38" s="153"/>
      <c r="M38" s="155"/>
      <c r="N38" s="154"/>
    </row>
    <row r="39" spans="2:14">
      <c r="B39" s="415"/>
      <c r="C39" s="10" t="str">
        <f>Données_comptables!$C$27</f>
        <v>Scooter G2</v>
      </c>
      <c r="D39" s="412"/>
      <c r="E39" s="161">
        <f>Données_comptables!E60</f>
        <v>0</v>
      </c>
      <c r="F39" s="95"/>
      <c r="G39" s="95"/>
      <c r="H39" s="412"/>
      <c r="I39" s="146"/>
      <c r="J39" s="153"/>
      <c r="K39" s="154"/>
      <c r="L39" s="153"/>
      <c r="M39" s="155"/>
      <c r="N39" s="154"/>
    </row>
    <row r="40" spans="2:14">
      <c r="B40" s="416"/>
      <c r="C40" s="10" t="str">
        <f>Données_comptables!$C$28</f>
        <v>Scooter G3</v>
      </c>
      <c r="D40" s="413"/>
      <c r="E40" s="161">
        <f>Données_comptables!E61</f>
        <v>0</v>
      </c>
      <c r="F40" s="95"/>
      <c r="G40" s="95"/>
      <c r="H40" s="413"/>
      <c r="I40" s="146"/>
      <c r="J40" s="153"/>
      <c r="K40" s="154"/>
      <c r="L40" s="153"/>
      <c r="M40" s="155"/>
      <c r="N40" s="154"/>
    </row>
    <row r="41" spans="2:14" ht="12.75" customHeight="1">
      <c r="B41" s="181" t="s">
        <v>145</v>
      </c>
      <c r="C41" s="180"/>
      <c r="D41" s="174">
        <f>E41</f>
        <v>49102</v>
      </c>
      <c r="E41" s="175">
        <f>Données_comptables!E63</f>
        <v>49102</v>
      </c>
      <c r="F41" s="176">
        <f>E41</f>
        <v>49102</v>
      </c>
      <c r="G41" s="176"/>
      <c r="H41" s="177">
        <f>I41</f>
        <v>0</v>
      </c>
      <c r="I41" s="178">
        <f>E41-F41+G41</f>
        <v>0</v>
      </c>
      <c r="J41" s="153"/>
      <c r="K41" s="154"/>
      <c r="L41" s="153"/>
      <c r="M41" s="155"/>
      <c r="N41" s="154"/>
    </row>
    <row r="42" spans="2:14" ht="12.75" customHeight="1">
      <c r="B42" s="191" t="s">
        <v>132</v>
      </c>
      <c r="C42" s="180"/>
      <c r="D42" s="46">
        <f>E42</f>
        <v>0</v>
      </c>
      <c r="E42" s="43">
        <f>Données_comptables!E64</f>
        <v>0</v>
      </c>
      <c r="F42" s="43"/>
      <c r="G42" s="43"/>
      <c r="H42" s="177">
        <f>I42</f>
        <v>0</v>
      </c>
      <c r="I42" s="178">
        <f>E42-F42+G42</f>
        <v>0</v>
      </c>
      <c r="J42" s="189"/>
      <c r="K42" s="214">
        <f>I42</f>
        <v>0</v>
      </c>
      <c r="L42" s="189"/>
      <c r="M42" s="190"/>
      <c r="N42" s="148">
        <f>I42</f>
        <v>0</v>
      </c>
    </row>
    <row r="43" spans="2:14">
      <c r="B43" s="179" t="s">
        <v>315</v>
      </c>
      <c r="C43" s="155"/>
      <c r="D43" s="155"/>
      <c r="E43" s="155"/>
      <c r="F43" s="95"/>
      <c r="G43" s="190">
        <f>Données_financières!C23</f>
        <v>0</v>
      </c>
      <c r="H43" s="162">
        <f>I43</f>
        <v>0</v>
      </c>
      <c r="I43" s="146">
        <f>E43-F43+G43</f>
        <v>0</v>
      </c>
      <c r="J43" s="147"/>
      <c r="K43" s="214">
        <f>I43</f>
        <v>0</v>
      </c>
      <c r="L43" s="147"/>
      <c r="M43" s="95"/>
      <c r="N43" s="148">
        <f>I43</f>
        <v>0</v>
      </c>
    </row>
    <row r="44" spans="2:14" ht="13.5" thickBot="1">
      <c r="B44" s="163" t="s">
        <v>31</v>
      </c>
      <c r="C44" s="164"/>
      <c r="D44" s="165">
        <f>SUM(D4,D31,D35,D43)</f>
        <v>557417</v>
      </c>
      <c r="E44" s="166">
        <f>SUM(E4,E31,E35,E43)</f>
        <v>557417</v>
      </c>
      <c r="F44" s="167"/>
      <c r="G44" s="167"/>
      <c r="H44" s="165">
        <f t="shared" ref="H44:N44" si="23">SUM(H4,H31,H35,H43)</f>
        <v>508315</v>
      </c>
      <c r="I44" s="168">
        <f t="shared" si="23"/>
        <v>508315</v>
      </c>
      <c r="J44" s="182">
        <f t="shared" si="23"/>
        <v>258688</v>
      </c>
      <c r="K44" s="168">
        <f t="shared" si="23"/>
        <v>249627</v>
      </c>
      <c r="L44" s="182">
        <f t="shared" si="23"/>
        <v>98688</v>
      </c>
      <c r="M44" s="165">
        <f t="shared" si="23"/>
        <v>160000</v>
      </c>
      <c r="N44" s="168">
        <f t="shared" si="23"/>
        <v>249627</v>
      </c>
    </row>
    <row r="45" spans="2:14">
      <c r="B45"/>
      <c r="C45"/>
      <c r="D45"/>
      <c r="E45"/>
      <c r="J45" s="23" t="s">
        <v>318</v>
      </c>
      <c r="K45" s="23" t="str">
        <f>IF($I$44=J44+K44,"OK","Pas OK")</f>
        <v>OK</v>
      </c>
      <c r="M45" s="23" t="s">
        <v>318</v>
      </c>
      <c r="N45" s="23" t="str">
        <f>IF($I$44=L44+M44+N44,"OK","Pas OK")</f>
        <v>OK</v>
      </c>
    </row>
    <row r="48" spans="2:14" ht="14.25" customHeight="1"/>
  </sheetData>
  <mergeCells count="34">
    <mergeCell ref="J2:K2"/>
    <mergeCell ref="L2:N2"/>
    <mergeCell ref="B2:I2"/>
    <mergeCell ref="D27:D28"/>
    <mergeCell ref="D23:D25"/>
    <mergeCell ref="D5:D7"/>
    <mergeCell ref="D8:D10"/>
    <mergeCell ref="D11:D13"/>
    <mergeCell ref="D14:D16"/>
    <mergeCell ref="D17:D19"/>
    <mergeCell ref="D20:D22"/>
    <mergeCell ref="H38:H40"/>
    <mergeCell ref="B5:B7"/>
    <mergeCell ref="B8:B10"/>
    <mergeCell ref="B11:B13"/>
    <mergeCell ref="B14:B16"/>
    <mergeCell ref="B23:B25"/>
    <mergeCell ref="B17:B19"/>
    <mergeCell ref="B20:B22"/>
    <mergeCell ref="B27:B28"/>
    <mergeCell ref="B38:B40"/>
    <mergeCell ref="B36:B37"/>
    <mergeCell ref="D36:D37"/>
    <mergeCell ref="D38:D40"/>
    <mergeCell ref="H17:H19"/>
    <mergeCell ref="H20:H22"/>
    <mergeCell ref="H23:H25"/>
    <mergeCell ref="H27:H28"/>
    <mergeCell ref="H36:H37"/>
    <mergeCell ref="D3:E3"/>
    <mergeCell ref="H5:H7"/>
    <mergeCell ref="H8:H10"/>
    <mergeCell ref="H11:H13"/>
    <mergeCell ref="H14:H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1D8B5-F488-4799-B8D2-71DC4B559210}">
  <sheetPr codeName="Feuil6">
    <tabColor theme="9"/>
  </sheetPr>
  <dimension ref="B2:K33"/>
  <sheetViews>
    <sheetView topLeftCell="A22" workbookViewId="0">
      <selection activeCell="O12" sqref="O12"/>
    </sheetView>
  </sheetViews>
  <sheetFormatPr baseColWidth="10" defaultRowHeight="12.75"/>
  <cols>
    <col min="2" max="2" width="13.28515625" customWidth="1"/>
    <col min="3" max="3" width="22.7109375" customWidth="1"/>
    <col min="4" max="4" width="12.85546875" bestFit="1" customWidth="1"/>
    <col min="7" max="7" width="12.85546875" bestFit="1" customWidth="1"/>
    <col min="9" max="9" width="15.7109375" customWidth="1"/>
    <col min="10" max="10" width="23" customWidth="1"/>
    <col min="11" max="11" width="23.42578125" customWidth="1"/>
  </cols>
  <sheetData>
    <row r="2" spans="2:11">
      <c r="B2" s="14"/>
      <c r="C2" s="431" t="str">
        <f>CONCATENATE("Compte de résultat différentiel du 01/01/",Donnees_de_jeu!E6," au 31/12/",Donnees_de_jeu!E6)</f>
        <v>Compte de résultat différentiel du 01/01/2023 au 31/12/2023</v>
      </c>
      <c r="D2" s="432"/>
      <c r="E2" s="432"/>
      <c r="F2" s="432"/>
      <c r="G2" s="433"/>
      <c r="I2" s="422" t="s">
        <v>367</v>
      </c>
      <c r="J2" s="422"/>
      <c r="K2" s="422"/>
    </row>
    <row r="3" spans="2:11">
      <c r="B3" s="14"/>
      <c r="C3" s="171"/>
      <c r="D3" s="204" t="str">
        <f>Donnees_de_jeu!$C$6</f>
        <v>Scooter G1</v>
      </c>
      <c r="E3" s="204" t="str">
        <f>Donnees_de_jeu!$C$7</f>
        <v>Scooter G2</v>
      </c>
      <c r="F3" s="205" t="str">
        <f>Donnees_de_jeu!$C$8</f>
        <v>Scooter G3</v>
      </c>
      <c r="G3" s="206" t="s">
        <v>231</v>
      </c>
      <c r="I3" s="207"/>
      <c r="J3" s="23" t="str">
        <f>CONCATENATE("01/01/",Donnees_de_jeu!E6)</f>
        <v>01/01/2023</v>
      </c>
      <c r="K3" s="23" t="str">
        <f>CONCATENATE("31/12/",Donnees_de_jeu!E6)</f>
        <v>31/12/2023</v>
      </c>
    </row>
    <row r="4" spans="2:11">
      <c r="B4" s="423" t="s">
        <v>319</v>
      </c>
      <c r="C4" s="31" t="s">
        <v>232</v>
      </c>
      <c r="D4" s="207">
        <f>Données_commerciales!J3</f>
        <v>2015</v>
      </c>
      <c r="E4" s="207">
        <f>Données_commerciales!J4</f>
        <v>0</v>
      </c>
      <c r="F4" s="207">
        <f>Données_commerciales!J5</f>
        <v>0</v>
      </c>
      <c r="G4" s="207">
        <f>SUM(D4:F4)</f>
        <v>2015</v>
      </c>
      <c r="I4" s="207" t="s">
        <v>372</v>
      </c>
      <c r="J4" s="23">
        <v>0</v>
      </c>
      <c r="K4" s="23">
        <v>0</v>
      </c>
    </row>
    <row r="5" spans="2:11">
      <c r="B5" s="423"/>
      <c r="C5" s="31" t="s">
        <v>94</v>
      </c>
      <c r="D5" s="208">
        <f>Données_commerciales!C3</f>
        <v>350</v>
      </c>
      <c r="E5" s="208">
        <f>Données_commerciales!C4</f>
        <v>0</v>
      </c>
      <c r="F5" s="209">
        <f>Données_commerciales!C5</f>
        <v>0</v>
      </c>
      <c r="G5" s="201"/>
      <c r="I5" s="28" t="s">
        <v>221</v>
      </c>
      <c r="J5" s="50">
        <v>0</v>
      </c>
      <c r="K5" s="49">
        <f>G6</f>
        <v>705250</v>
      </c>
    </row>
    <row r="6" spans="2:11">
      <c r="B6" s="14"/>
      <c r="C6" s="28" t="s">
        <v>221</v>
      </c>
      <c r="D6" s="57">
        <f>Données_comptables!I26</f>
        <v>705250</v>
      </c>
      <c r="E6" s="57">
        <f>Données_comptables!I27</f>
        <v>0</v>
      </c>
      <c r="F6" s="58">
        <f>Données_comptables!I28</f>
        <v>0</v>
      </c>
      <c r="G6" s="57">
        <f>Données_comptables!H26</f>
        <v>705250</v>
      </c>
      <c r="I6" s="23" t="s">
        <v>369</v>
      </c>
      <c r="J6" s="49">
        <f>G14+G20</f>
        <v>509627</v>
      </c>
      <c r="K6" s="49">
        <f>J6</f>
        <v>509627</v>
      </c>
    </row>
    <row r="7" spans="2:11">
      <c r="B7" s="14"/>
      <c r="C7" s="30" t="s">
        <v>222</v>
      </c>
      <c r="D7" s="53">
        <f>SUM(D8:D11)</f>
        <v>135168</v>
      </c>
      <c r="E7" s="53">
        <f>SUM(E8:E11)</f>
        <v>0</v>
      </c>
      <c r="F7" s="54">
        <f>SUM(F8:F11)</f>
        <v>0</v>
      </c>
      <c r="G7" s="53">
        <f>SUM(G8:G11)</f>
        <v>135168</v>
      </c>
      <c r="I7" s="23" t="s">
        <v>370</v>
      </c>
      <c r="J7" s="49">
        <v>0</v>
      </c>
      <c r="K7" s="49">
        <f>G7</f>
        <v>135168</v>
      </c>
    </row>
    <row r="8" spans="2:11">
      <c r="B8" s="14"/>
      <c r="C8" s="28" t="s">
        <v>36</v>
      </c>
      <c r="D8" s="50">
        <f>Données_comptables!E26</f>
        <v>92760</v>
      </c>
      <c r="E8" s="50">
        <f>Données_comptables!E27</f>
        <v>0</v>
      </c>
      <c r="F8" s="51">
        <f>Données_comptables!E28</f>
        <v>0</v>
      </c>
      <c r="G8" s="50">
        <f>Données_comptables!D26</f>
        <v>92760</v>
      </c>
      <c r="I8" s="23" t="s">
        <v>371</v>
      </c>
      <c r="J8" s="49">
        <f>J6+J7</f>
        <v>509627</v>
      </c>
      <c r="K8" s="49">
        <f>K6+K7</f>
        <v>644795</v>
      </c>
    </row>
    <row r="9" spans="2:11" ht="25.5">
      <c r="B9" s="14"/>
      <c r="C9" s="28" t="s">
        <v>39</v>
      </c>
      <c r="D9" s="50">
        <f>Données_comptables!I29</f>
        <v>36480</v>
      </c>
      <c r="E9" s="50">
        <f>Données_comptables!I30</f>
        <v>0</v>
      </c>
      <c r="F9" s="51">
        <f>Données_comptables!I31</f>
        <v>0</v>
      </c>
      <c r="G9" s="50">
        <f>Données_comptables!H29</f>
        <v>36480</v>
      </c>
      <c r="I9" s="28" t="s">
        <v>223</v>
      </c>
      <c r="J9" s="49">
        <f>J5-J7</f>
        <v>0</v>
      </c>
      <c r="K9" s="49">
        <f>K5-K7</f>
        <v>570082</v>
      </c>
    </row>
    <row r="10" spans="2:11" ht="25.5">
      <c r="B10" s="14"/>
      <c r="C10" s="28" t="s">
        <v>43</v>
      </c>
      <c r="D10" s="50">
        <f>Données_comptables!E41</f>
        <v>5928</v>
      </c>
      <c r="E10" s="50">
        <f>Données_comptables!E42</f>
        <v>0</v>
      </c>
      <c r="F10" s="51">
        <f>Données_comptables!E43</f>
        <v>0</v>
      </c>
      <c r="G10" s="50">
        <f>Données_comptables!D41</f>
        <v>5928</v>
      </c>
      <c r="I10" s="207" t="s">
        <v>227</v>
      </c>
      <c r="J10" s="49">
        <f>J5-J8</f>
        <v>-509627</v>
      </c>
      <c r="K10" s="49">
        <f>K5-K8</f>
        <v>60455</v>
      </c>
    </row>
    <row r="11" spans="2:11">
      <c r="B11" s="14"/>
      <c r="C11" s="28" t="s">
        <v>44</v>
      </c>
      <c r="D11" s="50">
        <f>Données_comptables!E44</f>
        <v>0</v>
      </c>
      <c r="E11" s="50">
        <f>Données_comptables!E45</f>
        <v>0</v>
      </c>
      <c r="F11" s="51">
        <f>Données_comptables!E46</f>
        <v>0</v>
      </c>
      <c r="G11" s="50">
        <f>Données_comptables!D44</f>
        <v>0</v>
      </c>
    </row>
    <row r="12" spans="2:11">
      <c r="B12" s="14"/>
      <c r="C12" s="30" t="s">
        <v>223</v>
      </c>
      <c r="D12" s="53">
        <f>D6-D7</f>
        <v>570082</v>
      </c>
      <c r="E12" s="53">
        <f>E6-E7</f>
        <v>0</v>
      </c>
      <c r="F12" s="53">
        <f>F6-F7</f>
        <v>0</v>
      </c>
      <c r="G12" s="53">
        <f>G6-G7</f>
        <v>570082</v>
      </c>
    </row>
    <row r="13" spans="2:11" ht="25.5">
      <c r="B13" s="14"/>
      <c r="C13" s="30" t="s">
        <v>320</v>
      </c>
      <c r="D13" s="243">
        <f>D12/D4</f>
        <v>282.91910669975186</v>
      </c>
      <c r="E13" s="173" t="e">
        <f>E12/E4</f>
        <v>#DIV/0!</v>
      </c>
      <c r="F13" s="173" t="e">
        <f>F12/F4</f>
        <v>#DIV/0!</v>
      </c>
      <c r="G13" s="172">
        <f>G12/G4</f>
        <v>282.91910669975186</v>
      </c>
    </row>
    <row r="14" spans="2:11">
      <c r="B14" s="14"/>
      <c r="C14" s="30" t="s">
        <v>224</v>
      </c>
      <c r="D14" s="53">
        <f>SUM(D15:D18)</f>
        <v>160000</v>
      </c>
      <c r="E14" s="53">
        <f>SUM(E15:E18)</f>
        <v>0</v>
      </c>
      <c r="F14" s="53">
        <f>SUM(F15:F18)</f>
        <v>0</v>
      </c>
      <c r="G14" s="53">
        <f>SUM(G15:G18)</f>
        <v>160000</v>
      </c>
    </row>
    <row r="15" spans="2:11">
      <c r="B15" s="14"/>
      <c r="C15" s="28" t="s">
        <v>38</v>
      </c>
      <c r="D15" s="50">
        <f>Données_comptables!E29</f>
        <v>30000</v>
      </c>
      <c r="E15" s="50">
        <f>Données_comptables!E30</f>
        <v>0</v>
      </c>
      <c r="F15" s="51">
        <f>Données_comptables!E31</f>
        <v>0</v>
      </c>
      <c r="G15" s="50">
        <f>Données_comptables!D29</f>
        <v>30000</v>
      </c>
    </row>
    <row r="16" spans="2:11" ht="38.25">
      <c r="B16" s="14"/>
      <c r="C16" s="28" t="s">
        <v>225</v>
      </c>
      <c r="D16" s="50">
        <f>Données_comptables!E32</f>
        <v>60000</v>
      </c>
      <c r="E16" s="50">
        <f>Données_comptables!E33</f>
        <v>0</v>
      </c>
      <c r="F16" s="51">
        <f>Données_comptables!E34</f>
        <v>0</v>
      </c>
      <c r="G16" s="50">
        <f>Données_comptables!D32</f>
        <v>60000</v>
      </c>
    </row>
    <row r="17" spans="2:7">
      <c r="B17" s="14"/>
      <c r="C17" s="28" t="s">
        <v>41</v>
      </c>
      <c r="D17" s="50">
        <f>Données_comptables!E35</f>
        <v>40000</v>
      </c>
      <c r="E17" s="50">
        <f>Données_comptables!E36</f>
        <v>0</v>
      </c>
      <c r="F17" s="51">
        <f>Données_comptables!E37</f>
        <v>0</v>
      </c>
      <c r="G17" s="50">
        <f>Données_comptables!D35</f>
        <v>40000</v>
      </c>
    </row>
    <row r="18" spans="2:7">
      <c r="B18" s="14"/>
      <c r="C18" s="28" t="s">
        <v>42</v>
      </c>
      <c r="D18" s="50">
        <f>Données_comptables!E38</f>
        <v>30000</v>
      </c>
      <c r="E18" s="50">
        <f>Données_comptables!E39</f>
        <v>0</v>
      </c>
      <c r="F18" s="51">
        <f>Données_comptables!E40</f>
        <v>0</v>
      </c>
      <c r="G18" s="50">
        <f>Données_comptables!D38</f>
        <v>30000</v>
      </c>
    </row>
    <row r="19" spans="2:7" ht="25.5">
      <c r="B19" s="14"/>
      <c r="C19" s="30" t="s">
        <v>226</v>
      </c>
      <c r="D19" s="53">
        <f>D12-D14</f>
        <v>410082</v>
      </c>
      <c r="E19" s="53">
        <f>E12-E14</f>
        <v>0</v>
      </c>
      <c r="F19" s="53">
        <f>F12-F14</f>
        <v>0</v>
      </c>
      <c r="G19" s="53">
        <f>G12-G14</f>
        <v>410082</v>
      </c>
    </row>
    <row r="20" spans="2:7">
      <c r="B20" s="14"/>
      <c r="C20" s="30" t="s">
        <v>368</v>
      </c>
      <c r="D20" s="434">
        <f>SUM(D21:F26)</f>
        <v>349627</v>
      </c>
      <c r="E20" s="435"/>
      <c r="F20" s="436"/>
      <c r="G20" s="53">
        <f>D20</f>
        <v>349627</v>
      </c>
    </row>
    <row r="21" spans="2:7">
      <c r="B21" s="14"/>
      <c r="C21" s="28" t="s">
        <v>45</v>
      </c>
      <c r="D21" s="437">
        <f>Données_comptables!E47</f>
        <v>188700</v>
      </c>
      <c r="E21" s="438"/>
      <c r="F21" s="439"/>
      <c r="G21" s="50">
        <f>D21</f>
        <v>188700</v>
      </c>
    </row>
    <row r="22" spans="2:7">
      <c r="B22" s="14"/>
      <c r="C22" s="28" t="s">
        <v>46</v>
      </c>
      <c r="D22" s="437">
        <f>Données_comptables!D48</f>
        <v>60000</v>
      </c>
      <c r="E22" s="438"/>
      <c r="F22" s="439"/>
      <c r="G22" s="50">
        <f>D22</f>
        <v>60000</v>
      </c>
    </row>
    <row r="23" spans="2:7" ht="38.25">
      <c r="B23" s="14"/>
      <c r="C23" s="211" t="s">
        <v>360</v>
      </c>
      <c r="D23" s="440">
        <f>Charges_compta_analytique!K29</f>
        <v>30000</v>
      </c>
      <c r="E23" s="441"/>
      <c r="F23" s="442"/>
      <c r="G23" s="50">
        <f t="shared" ref="G23:G24" si="0">D23</f>
        <v>30000</v>
      </c>
    </row>
    <row r="24" spans="2:7">
      <c r="B24" s="14"/>
      <c r="C24" s="211" t="s">
        <v>359</v>
      </c>
      <c r="D24" s="440">
        <f>Charges_compta_analytique!I30</f>
        <v>70000</v>
      </c>
      <c r="E24" s="441"/>
      <c r="F24" s="442"/>
      <c r="G24" s="50">
        <f t="shared" si="0"/>
        <v>70000</v>
      </c>
    </row>
    <row r="25" spans="2:7">
      <c r="B25" s="14"/>
      <c r="C25" s="28" t="s">
        <v>47</v>
      </c>
      <c r="D25" s="424">
        <f>Données_comptables!D53+Données_comptables!D54</f>
        <v>927</v>
      </c>
      <c r="E25" s="425"/>
      <c r="F25" s="426"/>
      <c r="G25" s="50">
        <f>D25</f>
        <v>927</v>
      </c>
    </row>
    <row r="26" spans="2:7" ht="38.25">
      <c r="B26" s="14"/>
      <c r="C26" s="31" t="s">
        <v>316</v>
      </c>
      <c r="D26" s="427">
        <f>Charges_compta_analytique!H43</f>
        <v>0</v>
      </c>
      <c r="E26" s="427"/>
      <c r="F26" s="427"/>
      <c r="G26" s="263">
        <f>D26</f>
        <v>0</v>
      </c>
    </row>
    <row r="27" spans="2:7">
      <c r="B27" s="14"/>
      <c r="C27" s="30" t="s">
        <v>227</v>
      </c>
      <c r="D27" s="428">
        <f>SUM(D19:F19)-D20</f>
        <v>60455</v>
      </c>
      <c r="E27" s="429"/>
      <c r="F27" s="430"/>
      <c r="G27" s="53">
        <f>D27</f>
        <v>60455</v>
      </c>
    </row>
    <row r="28" spans="2:7">
      <c r="B28" s="14"/>
      <c r="C28" s="14"/>
      <c r="D28" s="14"/>
      <c r="E28" s="14"/>
      <c r="F28" s="14"/>
      <c r="G28" s="14"/>
    </row>
    <row r="29" spans="2:7" ht="25.5">
      <c r="B29" s="14"/>
      <c r="C29" s="30" t="s">
        <v>228</v>
      </c>
      <c r="D29" s="60">
        <f>D12/D6</f>
        <v>0.80834030485643393</v>
      </c>
      <c r="E29" s="60" t="e">
        <f>E12/E6</f>
        <v>#DIV/0!</v>
      </c>
      <c r="F29" s="60" t="e">
        <f>F12/F6</f>
        <v>#DIV/0!</v>
      </c>
      <c r="G29" s="55">
        <f>G12/G6</f>
        <v>0.80834030485643393</v>
      </c>
    </row>
    <row r="30" spans="2:7" ht="25.5">
      <c r="B30" s="14"/>
      <c r="C30" s="32" t="s">
        <v>233</v>
      </c>
      <c r="D30" s="61"/>
      <c r="E30" s="61"/>
      <c r="F30" s="61"/>
      <c r="G30" s="62">
        <f>(G14+G20)/G29</f>
        <v>630460.95430131105</v>
      </c>
    </row>
    <row r="31" spans="2:7" ht="25.5">
      <c r="B31" s="14"/>
      <c r="C31" s="32" t="s">
        <v>234</v>
      </c>
      <c r="D31" s="64"/>
      <c r="E31" s="64"/>
      <c r="F31" s="64"/>
      <c r="G31" s="63">
        <f>G30/G6*360</f>
        <v>321.82338681102021</v>
      </c>
    </row>
    <row r="32" spans="2:7" ht="25.5">
      <c r="B32" s="14"/>
      <c r="C32" s="32" t="s">
        <v>229</v>
      </c>
      <c r="D32" s="210"/>
      <c r="E32" s="210"/>
      <c r="F32" s="210"/>
      <c r="G32" s="244">
        <f>G6-G30</f>
        <v>74789.045698688948</v>
      </c>
    </row>
    <row r="33" spans="2:7" ht="25.5">
      <c r="B33" s="14"/>
      <c r="C33" s="32" t="s">
        <v>230</v>
      </c>
      <c r="D33" s="210"/>
      <c r="E33" s="210"/>
      <c r="F33" s="210"/>
      <c r="G33" s="245">
        <f>G32/G6</f>
        <v>0.10604614774716618</v>
      </c>
    </row>
  </sheetData>
  <mergeCells count="11">
    <mergeCell ref="I2:K2"/>
    <mergeCell ref="B4:B5"/>
    <mergeCell ref="D25:F25"/>
    <mergeCell ref="D26:F26"/>
    <mergeCell ref="D27:F27"/>
    <mergeCell ref="C2:G2"/>
    <mergeCell ref="D20:F20"/>
    <mergeCell ref="D21:F21"/>
    <mergeCell ref="D22:F22"/>
    <mergeCell ref="D23:F23"/>
    <mergeCell ref="D24:F2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7B68-7EE6-4C87-99B9-87C03B0C855B}">
  <sheetPr codeName="Feuil7">
    <tabColor theme="9"/>
  </sheetPr>
  <dimension ref="B2:S61"/>
  <sheetViews>
    <sheetView workbookViewId="0">
      <selection activeCell="H44" sqref="H44:R44"/>
    </sheetView>
  </sheetViews>
  <sheetFormatPr baseColWidth="10" defaultRowHeight="12.75"/>
  <cols>
    <col min="2" max="2" width="26.42578125" customWidth="1"/>
    <col min="4" max="6" width="12.85546875" bestFit="1" customWidth="1"/>
    <col min="10" max="11" width="12.85546875" bestFit="1" customWidth="1"/>
    <col min="12" max="12" width="16.28515625" bestFit="1" customWidth="1"/>
    <col min="15" max="15" width="12.85546875" bestFit="1" customWidth="1"/>
    <col min="19" max="19" width="12.85546875" bestFit="1" customWidth="1"/>
  </cols>
  <sheetData>
    <row r="2" spans="2:18" ht="12.75" customHeight="1">
      <c r="B2" s="431" t="s">
        <v>333</v>
      </c>
      <c r="C2" s="432"/>
      <c r="D2" s="432"/>
      <c r="E2" s="432"/>
      <c r="F2" s="433"/>
      <c r="G2" s="14"/>
      <c r="H2" s="447" t="s">
        <v>334</v>
      </c>
      <c r="I2" s="447"/>
      <c r="J2" s="447"/>
      <c r="K2" s="447"/>
      <c r="L2" s="447"/>
      <c r="M2" s="447"/>
      <c r="N2" s="447"/>
      <c r="O2" s="447"/>
      <c r="P2" s="447"/>
      <c r="Q2" s="447"/>
      <c r="R2" s="447"/>
    </row>
    <row r="3" spans="2:18" ht="38.25">
      <c r="B3" s="446" t="s">
        <v>324</v>
      </c>
      <c r="C3" s="446"/>
      <c r="D3" s="115" t="s">
        <v>327</v>
      </c>
      <c r="E3" s="115" t="s">
        <v>325</v>
      </c>
      <c r="F3" s="115" t="s">
        <v>326</v>
      </c>
      <c r="G3" s="14"/>
      <c r="H3" s="461"/>
      <c r="I3" s="462"/>
      <c r="J3" s="452" t="str">
        <f>CONCATENATE("Matières pour le ",Donnees_de_jeu!C6)</f>
        <v>Matières pour le Scooter G1</v>
      </c>
      <c r="K3" s="453"/>
      <c r="L3" s="454"/>
      <c r="M3" s="452" t="str">
        <f>CONCATENATE("Matières pour le ",Donnees_de_jeu!C7)</f>
        <v>Matières pour le Scooter G2</v>
      </c>
      <c r="N3" s="453"/>
      <c r="O3" s="454"/>
      <c r="P3" s="452" t="str">
        <f>CONCATENATE("Matières pour le ",Donnees_de_jeu!C8)</f>
        <v>Matières pour le Scooter G3</v>
      </c>
      <c r="Q3" s="453"/>
      <c r="R3" s="454"/>
    </row>
    <row r="4" spans="2:18">
      <c r="B4" s="211" t="s">
        <v>45</v>
      </c>
      <c r="C4" s="201"/>
      <c r="D4" s="193">
        <f>Charges_compta_analytique!K26</f>
        <v>188700</v>
      </c>
      <c r="E4" s="193">
        <f>D4</f>
        <v>188700</v>
      </c>
      <c r="F4" s="28"/>
      <c r="G4" s="14"/>
      <c r="H4" s="463"/>
      <c r="I4" s="464"/>
      <c r="J4" s="28" t="s">
        <v>336</v>
      </c>
      <c r="K4" s="28" t="s">
        <v>337</v>
      </c>
      <c r="L4" s="28" t="s">
        <v>338</v>
      </c>
      <c r="M4" s="28" t="s">
        <v>336</v>
      </c>
      <c r="N4" s="28" t="s">
        <v>337</v>
      </c>
      <c r="O4" s="28" t="s">
        <v>338</v>
      </c>
      <c r="P4" s="28" t="s">
        <v>336</v>
      </c>
      <c r="Q4" s="28" t="s">
        <v>337</v>
      </c>
      <c r="R4" s="28" t="s">
        <v>338</v>
      </c>
    </row>
    <row r="5" spans="2:18" ht="25.5">
      <c r="B5" s="472" t="s">
        <v>46</v>
      </c>
      <c r="C5" s="125" t="str">
        <f>CONCATENATE("Machine(s) ", Donnees_de_jeu!$C$11, "(s)")</f>
        <v>Machine(s) Classique(s)</v>
      </c>
      <c r="D5" s="193">
        <f>Charges_compta_analytique!K27</f>
        <v>60000</v>
      </c>
      <c r="E5" s="193">
        <f>D5</f>
        <v>60000</v>
      </c>
      <c r="F5" s="28"/>
      <c r="G5" s="14"/>
      <c r="H5" s="443" t="s">
        <v>311</v>
      </c>
      <c r="I5" s="443"/>
      <c r="J5" s="201"/>
      <c r="K5" s="201"/>
      <c r="L5" s="201"/>
      <c r="M5" s="201"/>
      <c r="N5" s="201"/>
      <c r="O5" s="201"/>
      <c r="P5" s="201"/>
      <c r="Q5" s="201"/>
      <c r="R5" s="201"/>
    </row>
    <row r="6" spans="2:18" ht="25.5">
      <c r="B6" s="472"/>
      <c r="C6" s="125" t="str">
        <f>CONCATENATE("Machine(s) ",Donnees_de_jeu!$C$12,"(s)")</f>
        <v>Machine(s) Moderne(s)</v>
      </c>
      <c r="D6" s="193">
        <f>Charges_compta_analytique!K28</f>
        <v>0</v>
      </c>
      <c r="E6" s="193">
        <f>D6</f>
        <v>0</v>
      </c>
      <c r="F6" s="28"/>
      <c r="G6" s="14"/>
      <c r="H6" s="473" t="s">
        <v>335</v>
      </c>
      <c r="I6" s="473"/>
      <c r="J6" s="247">
        <f>Données_techniques!D15</f>
        <v>2319</v>
      </c>
      <c r="K6" s="213">
        <f>L6/J6</f>
        <v>40</v>
      </c>
      <c r="L6" s="250">
        <f>Charges_compta_analytique!J5</f>
        <v>92760</v>
      </c>
      <c r="M6" s="247">
        <f>Données_techniques!D16</f>
        <v>0</v>
      </c>
      <c r="N6" s="213" t="e">
        <f>O6/M6</f>
        <v>#DIV/0!</v>
      </c>
      <c r="O6" s="250">
        <f>Charges_compta_analytique!J6</f>
        <v>0</v>
      </c>
      <c r="P6" s="247">
        <f>Données_techniques!C17</f>
        <v>0</v>
      </c>
      <c r="Q6" s="213" t="e">
        <f>R6/P6</f>
        <v>#DIV/0!</v>
      </c>
      <c r="R6" s="250">
        <f>Charges_compta_analytique!J7</f>
        <v>0</v>
      </c>
    </row>
    <row r="7" spans="2:18" ht="27.75" customHeight="1">
      <c r="B7" s="246" t="s">
        <v>360</v>
      </c>
      <c r="C7" s="201"/>
      <c r="D7" s="49">
        <f>Charges_compta_analytique!K29</f>
        <v>30000</v>
      </c>
      <c r="E7" s="23"/>
      <c r="F7" s="49">
        <f>D7</f>
        <v>30000</v>
      </c>
      <c r="G7" s="14"/>
      <c r="H7" s="470" t="str">
        <f>Charges_compta_analytique!B20</f>
        <v>Coût de stockage</v>
      </c>
      <c r="I7" s="471"/>
      <c r="J7" s="248"/>
      <c r="K7" s="201"/>
      <c r="L7" s="250">
        <f>Charges_compta_analytique!J20</f>
        <v>5928</v>
      </c>
      <c r="M7" s="248"/>
      <c r="N7" s="201"/>
      <c r="O7" s="250">
        <f>Charges_compta_analytique!J21</f>
        <v>0</v>
      </c>
      <c r="P7" s="248"/>
      <c r="Q7" s="201"/>
      <c r="R7" s="250">
        <f>Charges_compta_analytique!J22</f>
        <v>0</v>
      </c>
    </row>
    <row r="8" spans="2:18">
      <c r="B8" s="246" t="s">
        <v>359</v>
      </c>
      <c r="C8" s="201"/>
      <c r="D8" s="49">
        <f>Charges_compta_analytique!K30</f>
        <v>70000</v>
      </c>
      <c r="E8" s="49">
        <f>D8</f>
        <v>70000</v>
      </c>
      <c r="F8" s="23"/>
      <c r="G8" s="14"/>
      <c r="H8" s="470" t="str">
        <f>Charges_compta_analytique!B23</f>
        <v>Dépréciation des stocks</v>
      </c>
      <c r="I8" s="471"/>
      <c r="J8" s="248"/>
      <c r="K8" s="201"/>
      <c r="L8" s="250">
        <f>Charges_compta_analytique!J23</f>
        <v>0</v>
      </c>
      <c r="M8" s="248"/>
      <c r="N8" s="201"/>
      <c r="O8" s="250">
        <f>Charges_compta_analytique!J24</f>
        <v>0</v>
      </c>
      <c r="P8" s="248"/>
      <c r="Q8" s="201"/>
      <c r="R8" s="250">
        <f>Charges_compta_analytique!J25</f>
        <v>0</v>
      </c>
    </row>
    <row r="9" spans="2:18">
      <c r="B9" s="211" t="s">
        <v>49</v>
      </c>
      <c r="C9" s="201"/>
      <c r="D9" s="193">
        <f>Charges_compta_analytique!K32</f>
        <v>927</v>
      </c>
      <c r="E9" s="28"/>
      <c r="F9" s="193">
        <f>D9</f>
        <v>927</v>
      </c>
      <c r="G9" s="14"/>
      <c r="H9" s="443" t="s">
        <v>312</v>
      </c>
      <c r="I9" s="443"/>
      <c r="J9" s="248"/>
      <c r="K9" s="201"/>
      <c r="L9" s="201"/>
      <c r="M9" s="248"/>
      <c r="N9" s="201"/>
      <c r="O9" s="201"/>
      <c r="P9" s="248"/>
      <c r="Q9" s="201"/>
      <c r="R9" s="201"/>
    </row>
    <row r="10" spans="2:18">
      <c r="B10" s="211" t="s">
        <v>51</v>
      </c>
      <c r="C10" s="201"/>
      <c r="D10" s="193">
        <f>Charges_compta_analytique!K33</f>
        <v>0</v>
      </c>
      <c r="E10" s="28"/>
      <c r="F10" s="193">
        <f>D10</f>
        <v>0</v>
      </c>
      <c r="G10" s="14"/>
      <c r="H10" s="465" t="s">
        <v>31</v>
      </c>
      <c r="I10" s="465"/>
      <c r="J10" s="247">
        <f>J6</f>
        <v>2319</v>
      </c>
      <c r="K10" s="213">
        <f>L10/J10</f>
        <v>42.556274256144889</v>
      </c>
      <c r="L10" s="250">
        <f>SUM(L5:L9)</f>
        <v>98688</v>
      </c>
      <c r="M10" s="247">
        <f>M6</f>
        <v>0</v>
      </c>
      <c r="N10" s="213" t="e">
        <f>O10/M10</f>
        <v>#DIV/0!</v>
      </c>
      <c r="O10" s="250">
        <f>SUM(O5:O9)</f>
        <v>0</v>
      </c>
      <c r="P10" s="247">
        <f>P6</f>
        <v>0</v>
      </c>
      <c r="Q10" s="213" t="e">
        <f>R10/P10</f>
        <v>#DIV/0!</v>
      </c>
      <c r="R10" s="250">
        <f>SUM(R5:R9)</f>
        <v>0</v>
      </c>
    </row>
    <row r="11" spans="2:18" ht="25.5">
      <c r="B11" s="211" t="s">
        <v>321</v>
      </c>
      <c r="C11" s="201"/>
      <c r="D11" s="193">
        <f>Charges_compta_analytique!K34</f>
        <v>0</v>
      </c>
      <c r="E11" s="28"/>
      <c r="F11" s="193">
        <f>D11</f>
        <v>0</v>
      </c>
      <c r="G11" s="14"/>
      <c r="H11" s="14"/>
      <c r="I11" s="14"/>
      <c r="J11" s="14"/>
      <c r="K11" s="14"/>
      <c r="L11" s="14"/>
    </row>
    <row r="12" spans="2:18">
      <c r="B12" s="99" t="s">
        <v>132</v>
      </c>
      <c r="C12" s="201"/>
      <c r="D12" s="193">
        <f>Charges_compta_analytique!K42</f>
        <v>0</v>
      </c>
      <c r="E12" s="193">
        <f>D12</f>
        <v>0</v>
      </c>
      <c r="F12" s="28"/>
      <c r="G12" s="14"/>
      <c r="H12" s="447" t="s">
        <v>339</v>
      </c>
      <c r="I12" s="447"/>
      <c r="J12" s="447"/>
      <c r="K12" s="447"/>
      <c r="L12" s="447"/>
      <c r="M12" s="447"/>
      <c r="N12" s="447"/>
      <c r="O12" s="447"/>
      <c r="P12" s="447"/>
      <c r="Q12" s="447"/>
      <c r="R12" s="447"/>
    </row>
    <row r="13" spans="2:18">
      <c r="B13" s="212" t="s">
        <v>315</v>
      </c>
      <c r="C13" s="201"/>
      <c r="D13" s="193">
        <f>Charges_compta_analytique!K43</f>
        <v>0</v>
      </c>
      <c r="E13" s="193">
        <f>D13/2</f>
        <v>0</v>
      </c>
      <c r="F13" s="193">
        <f>D13/2</f>
        <v>0</v>
      </c>
      <c r="G13" s="14"/>
      <c r="H13" s="461"/>
      <c r="I13" s="462"/>
      <c r="J13" s="452" t="str">
        <f>Donnees_de_jeu!C6</f>
        <v>Scooter G1</v>
      </c>
      <c r="K13" s="453"/>
      <c r="L13" s="454"/>
      <c r="M13" s="452" t="str">
        <f>Donnees_de_jeu!C7</f>
        <v>Scooter G2</v>
      </c>
      <c r="N13" s="453"/>
      <c r="O13" s="454"/>
      <c r="P13" s="452" t="str">
        <f>Donnees_de_jeu!C8</f>
        <v>Scooter G3</v>
      </c>
      <c r="Q13" s="453"/>
      <c r="R13" s="454"/>
    </row>
    <row r="14" spans="2:18" ht="12.75" customHeight="1">
      <c r="B14" s="30" t="s">
        <v>328</v>
      </c>
      <c r="C14" s="202"/>
      <c r="D14" s="202"/>
      <c r="E14" s="203">
        <f>SUM(E4:E13)</f>
        <v>318700</v>
      </c>
      <c r="F14" s="203">
        <f>SUM(F4:F13)</f>
        <v>30927</v>
      </c>
      <c r="G14" s="14"/>
      <c r="H14" s="463"/>
      <c r="I14" s="464"/>
      <c r="J14" s="28" t="s">
        <v>336</v>
      </c>
      <c r="K14" s="28" t="s">
        <v>337</v>
      </c>
      <c r="L14" s="28" t="s">
        <v>338</v>
      </c>
      <c r="M14" s="28" t="s">
        <v>336</v>
      </c>
      <c r="N14" s="28" t="s">
        <v>337</v>
      </c>
      <c r="O14" s="28" t="s">
        <v>338</v>
      </c>
      <c r="P14" s="28" t="s">
        <v>336</v>
      </c>
      <c r="Q14" s="28" t="s">
        <v>337</v>
      </c>
      <c r="R14" s="28" t="s">
        <v>338</v>
      </c>
    </row>
    <row r="15" spans="2:18" ht="51">
      <c r="B15" s="28" t="s">
        <v>329</v>
      </c>
      <c r="C15" s="201"/>
      <c r="D15" s="201"/>
      <c r="E15" s="28" t="s">
        <v>82</v>
      </c>
      <c r="F15" s="28" t="s">
        <v>332</v>
      </c>
      <c r="G15" s="14"/>
      <c r="H15" s="466" t="s">
        <v>335</v>
      </c>
      <c r="I15" s="467"/>
      <c r="J15" s="247">
        <f>J10</f>
        <v>2319</v>
      </c>
      <c r="K15" s="213">
        <f t="shared" ref="K15:R15" si="0">K10</f>
        <v>42.556274256144889</v>
      </c>
      <c r="L15" s="213">
        <f t="shared" si="0"/>
        <v>98688</v>
      </c>
      <c r="M15" s="247">
        <f t="shared" si="0"/>
        <v>0</v>
      </c>
      <c r="N15" s="213" t="e">
        <f t="shared" si="0"/>
        <v>#DIV/0!</v>
      </c>
      <c r="O15" s="213">
        <f t="shared" si="0"/>
        <v>0</v>
      </c>
      <c r="P15" s="247">
        <f t="shared" si="0"/>
        <v>0</v>
      </c>
      <c r="Q15" s="213" t="e">
        <f t="shared" si="0"/>
        <v>#DIV/0!</v>
      </c>
      <c r="R15" s="213">
        <f t="shared" si="0"/>
        <v>0</v>
      </c>
    </row>
    <row r="16" spans="2:18">
      <c r="B16" s="28" t="s">
        <v>330</v>
      </c>
      <c r="C16" s="201"/>
      <c r="D16" s="201"/>
      <c r="E16" s="28">
        <f>SUM(Données_techniques!D15:D17)</f>
        <v>2319</v>
      </c>
      <c r="F16" s="193">
        <f>SUM(L47,O47,R47)</f>
        <v>440908</v>
      </c>
      <c r="G16" s="14"/>
      <c r="H16" s="443" t="s">
        <v>311</v>
      </c>
      <c r="I16" s="443"/>
      <c r="J16" s="248"/>
      <c r="K16" s="201"/>
      <c r="L16" s="201"/>
      <c r="M16" s="248"/>
      <c r="N16" s="201"/>
      <c r="O16" s="201"/>
      <c r="P16" s="248"/>
      <c r="Q16" s="201"/>
      <c r="R16" s="201"/>
    </row>
    <row r="17" spans="2:19">
      <c r="B17" s="28" t="s">
        <v>331</v>
      </c>
      <c r="C17" s="201"/>
      <c r="D17" s="201"/>
      <c r="E17" s="257">
        <f>E14/E16</f>
        <v>137.42992669253988</v>
      </c>
      <c r="F17" s="257">
        <f>F14/F16</f>
        <v>7.0143884892086325E-2</v>
      </c>
      <c r="G17" s="14"/>
      <c r="H17" s="23" t="str">
        <f>Charges_compta_analytique!B8</f>
        <v>Frais fixes de production</v>
      </c>
      <c r="I17" s="23"/>
      <c r="J17" s="248"/>
      <c r="K17" s="201"/>
      <c r="L17" s="216">
        <f>Charges_compta_analytique!J8</f>
        <v>30000</v>
      </c>
      <c r="M17" s="248"/>
      <c r="N17" s="201"/>
      <c r="O17" s="216">
        <f>Charges_compta_analytique!J9</f>
        <v>0</v>
      </c>
      <c r="P17" s="248"/>
      <c r="Q17" s="201"/>
      <c r="R17" s="216">
        <f>Charges_compta_analytique!J10</f>
        <v>0</v>
      </c>
    </row>
    <row r="18" spans="2:19">
      <c r="G18" s="14"/>
      <c r="H18" s="468" t="str">
        <f>Charges_compta_analytique!B17</f>
        <v>Budget qualité</v>
      </c>
      <c r="I18" s="469"/>
      <c r="J18" s="248"/>
      <c r="K18" s="201"/>
      <c r="L18" s="216">
        <f>Charges_compta_analytique!J17</f>
        <v>30000</v>
      </c>
      <c r="M18" s="248"/>
      <c r="N18" s="201"/>
      <c r="O18" s="216">
        <f>Charges_compta_analytique!J18</f>
        <v>0</v>
      </c>
      <c r="P18" s="248"/>
      <c r="Q18" s="201"/>
      <c r="R18" s="216">
        <f>Charges_compta_analytique!J19</f>
        <v>0</v>
      </c>
    </row>
    <row r="19" spans="2:19">
      <c r="H19" s="443" t="s">
        <v>312</v>
      </c>
      <c r="I19" s="443"/>
      <c r="J19" s="248"/>
      <c r="K19" s="201"/>
      <c r="L19" s="201"/>
      <c r="M19" s="248"/>
      <c r="N19" s="201"/>
      <c r="O19" s="201"/>
      <c r="P19" s="248"/>
      <c r="Q19" s="201"/>
      <c r="R19" s="201"/>
    </row>
    <row r="20" spans="2:19">
      <c r="H20" s="468" t="s">
        <v>325</v>
      </c>
      <c r="I20" s="469"/>
      <c r="J20" s="251">
        <f>Données_techniques!D15</f>
        <v>2319</v>
      </c>
      <c r="K20" s="95">
        <f>$E$17</f>
        <v>137.42992669253988</v>
      </c>
      <c r="L20" s="95">
        <f>J20*K20</f>
        <v>318700</v>
      </c>
      <c r="M20" s="251">
        <f>Données_techniques!D16</f>
        <v>0</v>
      </c>
      <c r="N20" s="95">
        <f>$E$17</f>
        <v>137.42992669253988</v>
      </c>
      <c r="O20" s="95">
        <f>M20*N20</f>
        <v>0</v>
      </c>
      <c r="P20" s="251">
        <f>Données_techniques!D17</f>
        <v>0</v>
      </c>
      <c r="Q20" s="95">
        <f>$E$17</f>
        <v>137.42992669253988</v>
      </c>
      <c r="R20" s="95">
        <f>P20*Q20</f>
        <v>0</v>
      </c>
    </row>
    <row r="21" spans="2:19">
      <c r="H21" s="465" t="s">
        <v>31</v>
      </c>
      <c r="I21" s="465"/>
      <c r="J21" s="247">
        <f>J20</f>
        <v>2319</v>
      </c>
      <c r="K21" s="213">
        <f>L21/J21</f>
        <v>205.85942216472617</v>
      </c>
      <c r="L21" s="250">
        <f>SUM(L15:L20)</f>
        <v>477388</v>
      </c>
      <c r="M21" s="247">
        <f>M20</f>
        <v>0</v>
      </c>
      <c r="N21" s="213" t="e">
        <f>O21/M21</f>
        <v>#DIV/0!</v>
      </c>
      <c r="O21" s="250">
        <f>SUM(O15:O20)</f>
        <v>0</v>
      </c>
      <c r="P21" s="247">
        <f>P20</f>
        <v>0</v>
      </c>
      <c r="Q21" s="213" t="e">
        <f>R21/P21</f>
        <v>#DIV/0!</v>
      </c>
      <c r="R21" s="250">
        <f>SUM(R15:R20)</f>
        <v>0</v>
      </c>
      <c r="S21" s="49">
        <f>SUM(L21,O21,R21)</f>
        <v>477388</v>
      </c>
    </row>
    <row r="22" spans="2:19">
      <c r="J22" s="249"/>
    </row>
    <row r="23" spans="2:19">
      <c r="G23" s="457" t="s">
        <v>348</v>
      </c>
      <c r="H23" s="460" t="str">
        <f>CONCATENATE("Stock de ",Donnees_de_jeu!C6)</f>
        <v>Stock de Scooter G1</v>
      </c>
      <c r="I23" s="460"/>
      <c r="J23" s="460"/>
      <c r="K23" s="460"/>
      <c r="L23" s="460"/>
      <c r="M23" s="460"/>
      <c r="N23" s="460"/>
      <c r="O23" s="460"/>
    </row>
    <row r="24" spans="2:19">
      <c r="G24" s="457"/>
      <c r="H24" s="23" t="s">
        <v>340</v>
      </c>
      <c r="I24" s="23" t="s">
        <v>341</v>
      </c>
      <c r="J24" s="23" t="s">
        <v>347</v>
      </c>
      <c r="K24" s="23" t="s">
        <v>338</v>
      </c>
      <c r="L24" s="23" t="s">
        <v>340</v>
      </c>
      <c r="M24" s="23" t="s">
        <v>341</v>
      </c>
      <c r="N24" s="23" t="s">
        <v>347</v>
      </c>
      <c r="O24" s="23" t="s">
        <v>338</v>
      </c>
    </row>
    <row r="25" spans="2:19">
      <c r="G25" s="457"/>
      <c r="H25" s="217" t="s">
        <v>342</v>
      </c>
      <c r="I25" s="251">
        <f>Données_techniques!C15</f>
        <v>190</v>
      </c>
      <c r="J25" s="95">
        <f>Données_techniques!G15</f>
        <v>120</v>
      </c>
      <c r="K25" s="337">
        <f>I25*J25</f>
        <v>22800</v>
      </c>
      <c r="L25" s="252"/>
      <c r="M25" s="252"/>
      <c r="N25" s="252"/>
      <c r="O25" s="252"/>
    </row>
    <row r="26" spans="2:19">
      <c r="G26" s="457"/>
      <c r="H26" s="217" t="s">
        <v>346</v>
      </c>
      <c r="I26" s="251">
        <f>J21</f>
        <v>2319</v>
      </c>
      <c r="J26" s="216">
        <f t="shared" ref="J26:K26" si="1">K21</f>
        <v>205.85942216472617</v>
      </c>
      <c r="K26" s="95">
        <f t="shared" si="1"/>
        <v>477388</v>
      </c>
      <c r="L26" s="217" t="s">
        <v>345</v>
      </c>
      <c r="M26" s="251">
        <f>Données_techniques!E15</f>
        <v>2015</v>
      </c>
      <c r="N26" s="95">
        <f>O26/M26</f>
        <v>218.81290322580645</v>
      </c>
      <c r="O26" s="216">
        <f>K28-O27</f>
        <v>440908</v>
      </c>
    </row>
    <row r="27" spans="2:19">
      <c r="G27" s="457"/>
      <c r="H27" s="252"/>
      <c r="I27" s="256"/>
      <c r="J27" s="252"/>
      <c r="K27" s="338"/>
      <c r="L27" s="217" t="s">
        <v>343</v>
      </c>
      <c r="M27" s="251">
        <f>Données_techniques!F15</f>
        <v>494</v>
      </c>
      <c r="N27" s="95">
        <f>O27/M27</f>
        <v>120</v>
      </c>
      <c r="O27" s="216">
        <f>Données_comptables!C11</f>
        <v>59280</v>
      </c>
    </row>
    <row r="28" spans="2:19">
      <c r="G28" s="457"/>
      <c r="H28" s="217" t="s">
        <v>344</v>
      </c>
      <c r="I28" s="251">
        <f>I25+I26</f>
        <v>2509</v>
      </c>
      <c r="J28" s="95">
        <f>K28/I28</f>
        <v>199.35751295336789</v>
      </c>
      <c r="K28" s="95">
        <f>K25+K26</f>
        <v>500188</v>
      </c>
      <c r="L28" s="217" t="s">
        <v>344</v>
      </c>
      <c r="M28" s="251">
        <f>M26+M27</f>
        <v>2509</v>
      </c>
      <c r="N28" s="95">
        <f>O28/M28</f>
        <v>199.35751295336789</v>
      </c>
      <c r="O28" s="216">
        <f>O26+O27</f>
        <v>500188</v>
      </c>
    </row>
    <row r="29" spans="2:19">
      <c r="G29" s="457"/>
      <c r="H29" s="253"/>
      <c r="I29" s="253"/>
      <c r="J29" s="253"/>
      <c r="K29" s="253"/>
      <c r="L29" s="253"/>
      <c r="M29" s="253"/>
      <c r="N29" s="253"/>
      <c r="O29" s="253"/>
    </row>
    <row r="30" spans="2:19">
      <c r="G30" s="457"/>
      <c r="H30" s="460" t="str">
        <f>CONCATENATE("Stock de ",Donnees_de_jeu!C7)</f>
        <v>Stock de Scooter G2</v>
      </c>
      <c r="I30" s="460"/>
      <c r="J30" s="460"/>
      <c r="K30" s="460"/>
      <c r="L30" s="460"/>
      <c r="M30" s="460"/>
      <c r="N30" s="460"/>
      <c r="O30" s="460"/>
    </row>
    <row r="31" spans="2:19">
      <c r="G31" s="457"/>
      <c r="H31" s="217" t="s">
        <v>340</v>
      </c>
      <c r="I31" s="217" t="s">
        <v>341</v>
      </c>
      <c r="J31" s="217" t="s">
        <v>347</v>
      </c>
      <c r="K31" s="217" t="s">
        <v>338</v>
      </c>
      <c r="L31" s="217" t="s">
        <v>340</v>
      </c>
      <c r="M31" s="217" t="s">
        <v>341</v>
      </c>
      <c r="N31" s="217" t="s">
        <v>347</v>
      </c>
      <c r="O31" s="217" t="s">
        <v>338</v>
      </c>
    </row>
    <row r="32" spans="2:19">
      <c r="G32" s="457"/>
      <c r="H32" s="217" t="s">
        <v>342</v>
      </c>
      <c r="I32" s="251">
        <f>Données_techniques!C16</f>
        <v>0</v>
      </c>
      <c r="J32" s="95">
        <f>Données_techniques!G16</f>
        <v>140</v>
      </c>
      <c r="K32" s="337">
        <f>I32*J32</f>
        <v>0</v>
      </c>
      <c r="L32" s="252"/>
      <c r="M32" s="252"/>
      <c r="N32" s="252"/>
      <c r="O32" s="252"/>
    </row>
    <row r="33" spans="7:18">
      <c r="G33" s="457"/>
      <c r="H33" s="217" t="s">
        <v>346</v>
      </c>
      <c r="I33" s="251">
        <f>M21</f>
        <v>0</v>
      </c>
      <c r="J33" s="95" t="e">
        <f t="shared" ref="J33:K33" si="2">N21</f>
        <v>#DIV/0!</v>
      </c>
      <c r="K33" s="95">
        <f t="shared" si="2"/>
        <v>0</v>
      </c>
      <c r="L33" s="217" t="s">
        <v>345</v>
      </c>
      <c r="M33" s="251">
        <f>Données_techniques!E16</f>
        <v>0</v>
      </c>
      <c r="N33" s="95" t="e">
        <f>O33/M33</f>
        <v>#DIV/0!</v>
      </c>
      <c r="O33" s="95">
        <f>K35-O34</f>
        <v>0</v>
      </c>
    </row>
    <row r="34" spans="7:18">
      <c r="G34" s="457"/>
      <c r="H34" s="252"/>
      <c r="I34" s="256"/>
      <c r="J34" s="338"/>
      <c r="K34" s="338"/>
      <c r="L34" s="217" t="s">
        <v>343</v>
      </c>
      <c r="M34" s="251">
        <f>Données_techniques!F16</f>
        <v>0</v>
      </c>
      <c r="N34" s="95" t="e">
        <f>O34/M34</f>
        <v>#DIV/0!</v>
      </c>
      <c r="O34" s="95">
        <f>Données_comptables!C12</f>
        <v>0</v>
      </c>
    </row>
    <row r="35" spans="7:18">
      <c r="G35" s="457"/>
      <c r="H35" s="217" t="s">
        <v>344</v>
      </c>
      <c r="I35" s="251">
        <f>I32+I33</f>
        <v>0</v>
      </c>
      <c r="J35" s="95" t="e">
        <f>K35/I35</f>
        <v>#DIV/0!</v>
      </c>
      <c r="K35" s="95">
        <f>K32+K33</f>
        <v>0</v>
      </c>
      <c r="L35" s="217" t="s">
        <v>344</v>
      </c>
      <c r="M35" s="251">
        <f>M33+M34</f>
        <v>0</v>
      </c>
      <c r="N35" s="95" t="e">
        <f>O35/M35</f>
        <v>#DIV/0!</v>
      </c>
      <c r="O35" s="95">
        <f>O33+O34</f>
        <v>0</v>
      </c>
    </row>
    <row r="36" spans="7:18">
      <c r="G36" s="457"/>
      <c r="H36" s="253"/>
      <c r="I36" s="253"/>
      <c r="J36" s="253"/>
      <c r="K36" s="253"/>
      <c r="L36" s="253"/>
      <c r="M36" s="253"/>
      <c r="N36" s="253"/>
      <c r="O36" s="253"/>
    </row>
    <row r="37" spans="7:18">
      <c r="G37" s="457"/>
      <c r="H37" s="460" t="str">
        <f>CONCATENATE("Stock de ",Donnees_de_jeu!C8)</f>
        <v>Stock de Scooter G3</v>
      </c>
      <c r="I37" s="460"/>
      <c r="J37" s="460"/>
      <c r="K37" s="460"/>
      <c r="L37" s="460"/>
      <c r="M37" s="460"/>
      <c r="N37" s="460"/>
      <c r="O37" s="460"/>
    </row>
    <row r="38" spans="7:18">
      <c r="G38" s="457"/>
      <c r="H38" s="217" t="s">
        <v>340</v>
      </c>
      <c r="I38" s="217" t="s">
        <v>341</v>
      </c>
      <c r="J38" s="217" t="s">
        <v>347</v>
      </c>
      <c r="K38" s="217" t="s">
        <v>338</v>
      </c>
      <c r="L38" s="217" t="s">
        <v>340</v>
      </c>
      <c r="M38" s="217" t="s">
        <v>341</v>
      </c>
      <c r="N38" s="217" t="s">
        <v>347</v>
      </c>
      <c r="O38" s="217" t="s">
        <v>338</v>
      </c>
    </row>
    <row r="39" spans="7:18">
      <c r="G39" s="457"/>
      <c r="H39" s="217" t="s">
        <v>342</v>
      </c>
      <c r="I39" s="251">
        <f>Données_techniques!C17</f>
        <v>0</v>
      </c>
      <c r="J39" s="95">
        <f>Données_techniques!G17</f>
        <v>180</v>
      </c>
      <c r="K39" s="337">
        <f>I39*J39</f>
        <v>0</v>
      </c>
      <c r="L39" s="252"/>
      <c r="M39" s="252"/>
      <c r="N39" s="252"/>
      <c r="O39" s="252"/>
    </row>
    <row r="40" spans="7:18">
      <c r="G40" s="457"/>
      <c r="H40" s="217" t="s">
        <v>346</v>
      </c>
      <c r="I40" s="251">
        <f>P21</f>
        <v>0</v>
      </c>
      <c r="J40" s="95" t="e">
        <f t="shared" ref="J40:K40" si="3">Q21</f>
        <v>#DIV/0!</v>
      </c>
      <c r="K40" s="95">
        <f t="shared" si="3"/>
        <v>0</v>
      </c>
      <c r="L40" s="217" t="s">
        <v>345</v>
      </c>
      <c r="M40" s="251">
        <f>Données_techniques!E17</f>
        <v>0</v>
      </c>
      <c r="N40" s="95" t="e">
        <f>O40/M40</f>
        <v>#DIV/0!</v>
      </c>
      <c r="O40" s="95">
        <f>K42-O41</f>
        <v>0</v>
      </c>
    </row>
    <row r="41" spans="7:18">
      <c r="G41" s="457"/>
      <c r="H41" s="252"/>
      <c r="I41" s="256"/>
      <c r="J41" s="338"/>
      <c r="K41" s="338"/>
      <c r="L41" s="217" t="s">
        <v>343</v>
      </c>
      <c r="M41" s="251">
        <f>Données_techniques!F17</f>
        <v>0</v>
      </c>
      <c r="N41" s="95" t="e">
        <f>O41/M41</f>
        <v>#DIV/0!</v>
      </c>
      <c r="O41" s="95">
        <f>Données_comptables!C13</f>
        <v>0</v>
      </c>
    </row>
    <row r="42" spans="7:18">
      <c r="G42" s="457"/>
      <c r="H42" s="217" t="s">
        <v>344</v>
      </c>
      <c r="I42" s="251">
        <f>I39+I40</f>
        <v>0</v>
      </c>
      <c r="J42" s="95" t="e">
        <f>K42/I42</f>
        <v>#DIV/0!</v>
      </c>
      <c r="K42" s="95">
        <f>K39+K40</f>
        <v>0</v>
      </c>
      <c r="L42" s="217" t="s">
        <v>344</v>
      </c>
      <c r="M42" s="251">
        <f>M40+M41</f>
        <v>0</v>
      </c>
      <c r="N42" s="95" t="e">
        <f>O42/M42</f>
        <v>#DIV/0!</v>
      </c>
      <c r="O42" s="95">
        <f>O40+O41</f>
        <v>0</v>
      </c>
    </row>
    <row r="44" spans="7:18">
      <c r="H44" s="447" t="s">
        <v>349</v>
      </c>
      <c r="I44" s="447"/>
      <c r="J44" s="447"/>
      <c r="K44" s="447"/>
      <c r="L44" s="447"/>
      <c r="M44" s="447"/>
      <c r="N44" s="447"/>
      <c r="O44" s="447"/>
      <c r="P44" s="447"/>
      <c r="Q44" s="447"/>
      <c r="R44" s="447"/>
    </row>
    <row r="45" spans="7:18">
      <c r="H45" s="461"/>
      <c r="I45" s="462"/>
      <c r="J45" s="452" t="str">
        <f>J13</f>
        <v>Scooter G1</v>
      </c>
      <c r="K45" s="453"/>
      <c r="L45" s="454"/>
      <c r="M45" s="452" t="str">
        <f>M13</f>
        <v>Scooter G2</v>
      </c>
      <c r="N45" s="453"/>
      <c r="O45" s="454"/>
      <c r="P45" s="452" t="str">
        <f>P13</f>
        <v>Scooter G3</v>
      </c>
      <c r="Q45" s="453"/>
      <c r="R45" s="454"/>
    </row>
    <row r="46" spans="7:18" ht="25.5" customHeight="1">
      <c r="H46" s="463"/>
      <c r="I46" s="464"/>
      <c r="J46" s="28" t="s">
        <v>336</v>
      </c>
      <c r="K46" s="28" t="s">
        <v>337</v>
      </c>
      <c r="L46" s="28" t="s">
        <v>338</v>
      </c>
      <c r="M46" s="28" t="s">
        <v>336</v>
      </c>
      <c r="N46" s="28" t="s">
        <v>337</v>
      </c>
      <c r="O46" s="28" t="s">
        <v>338</v>
      </c>
      <c r="P46" s="28" t="s">
        <v>336</v>
      </c>
      <c r="Q46" s="28" t="s">
        <v>337</v>
      </c>
      <c r="R46" s="28" t="s">
        <v>338</v>
      </c>
    </row>
    <row r="47" spans="7:18" ht="24.75" customHeight="1">
      <c r="H47" s="455" t="s">
        <v>350</v>
      </c>
      <c r="I47" s="456"/>
      <c r="J47" s="247">
        <f>M26</f>
        <v>2015</v>
      </c>
      <c r="K47" s="213">
        <f t="shared" ref="K47:L47" si="4">N26</f>
        <v>218.81290322580645</v>
      </c>
      <c r="L47" s="213">
        <f t="shared" si="4"/>
        <v>440908</v>
      </c>
      <c r="M47" s="247">
        <f>M33</f>
        <v>0</v>
      </c>
      <c r="N47" s="213" t="e">
        <f t="shared" ref="N47:O47" si="5">N33</f>
        <v>#DIV/0!</v>
      </c>
      <c r="O47" s="213">
        <f t="shared" si="5"/>
        <v>0</v>
      </c>
      <c r="P47" s="247">
        <f>M40</f>
        <v>0</v>
      </c>
      <c r="Q47" s="213" t="e">
        <f t="shared" ref="Q47:R47" si="6">N40</f>
        <v>#DIV/0!</v>
      </c>
      <c r="R47" s="213">
        <f t="shared" si="6"/>
        <v>0</v>
      </c>
    </row>
    <row r="48" spans="7:18">
      <c r="H48" s="443" t="s">
        <v>311</v>
      </c>
      <c r="I48" s="443"/>
      <c r="J48" s="248"/>
      <c r="K48" s="201"/>
      <c r="L48" s="201"/>
      <c r="M48" s="248"/>
      <c r="N48" s="201"/>
      <c r="O48" s="201"/>
      <c r="P48" s="248"/>
      <c r="Q48" s="201"/>
      <c r="R48" s="201"/>
    </row>
    <row r="49" spans="8:18" ht="27.75" customHeight="1">
      <c r="H49" s="444" t="str">
        <f>Charges_compta_analytique!B11</f>
        <v>Frais fixes d’administration et distribution</v>
      </c>
      <c r="I49" s="445"/>
      <c r="J49" s="248"/>
      <c r="K49" s="201"/>
      <c r="L49" s="213">
        <f>Charges_compta_analytique!J11</f>
        <v>60000</v>
      </c>
      <c r="M49" s="248"/>
      <c r="N49" s="201"/>
      <c r="O49" s="213">
        <f>Charges_compta_analytique!J12</f>
        <v>0</v>
      </c>
      <c r="P49" s="248"/>
      <c r="Q49" s="201"/>
      <c r="R49" s="213">
        <f>Charges_compta_analytique!J13</f>
        <v>0</v>
      </c>
    </row>
    <row r="50" spans="8:18">
      <c r="H50" s="458" t="str">
        <f>Charges_compta_analytique!B14</f>
        <v>Budget communication</v>
      </c>
      <c r="I50" s="459"/>
      <c r="J50" s="248"/>
      <c r="K50" s="201"/>
      <c r="L50" s="254">
        <f>Charges_compta_analytique!J14</f>
        <v>40000</v>
      </c>
      <c r="M50" s="248"/>
      <c r="N50" s="201"/>
      <c r="O50" s="254">
        <f>Charges_compta_analytique!J15</f>
        <v>0</v>
      </c>
      <c r="P50" s="248"/>
      <c r="Q50" s="201"/>
      <c r="R50" s="254">
        <f>Charges_compta_analytique!J16</f>
        <v>0</v>
      </c>
    </row>
    <row r="51" spans="8:18">
      <c r="H51" s="443" t="s">
        <v>312</v>
      </c>
      <c r="I51" s="443"/>
      <c r="J51" s="248"/>
      <c r="K51" s="201"/>
      <c r="L51" s="201"/>
      <c r="M51" s="248"/>
      <c r="N51" s="201"/>
      <c r="O51" s="201"/>
      <c r="P51" s="248"/>
      <c r="Q51" s="201"/>
      <c r="R51" s="201"/>
    </row>
    <row r="52" spans="8:18">
      <c r="H52" s="446" t="s">
        <v>31</v>
      </c>
      <c r="I52" s="446"/>
      <c r="J52" s="247">
        <f>J47</f>
        <v>2015</v>
      </c>
      <c r="K52" s="213">
        <f>L52/J52</f>
        <v>268.44069478908187</v>
      </c>
      <c r="L52" s="250">
        <f>SUM(L47:L51)</f>
        <v>540908</v>
      </c>
      <c r="M52" s="247">
        <f>M47</f>
        <v>0</v>
      </c>
      <c r="N52" s="213" t="e">
        <f>O52/M52</f>
        <v>#DIV/0!</v>
      </c>
      <c r="O52" s="250">
        <f>SUM(O47:O51)</f>
        <v>0</v>
      </c>
      <c r="P52" s="247">
        <f>P47</f>
        <v>0</v>
      </c>
      <c r="Q52" s="213" t="e">
        <f>R52/P52</f>
        <v>#DIV/0!</v>
      </c>
      <c r="R52" s="250">
        <f>SUM(R47:R51)</f>
        <v>0</v>
      </c>
    </row>
    <row r="53" spans="8:18">
      <c r="H53" s="253"/>
      <c r="I53" s="253"/>
      <c r="J53" s="253"/>
      <c r="K53" s="253"/>
      <c r="L53" s="253"/>
      <c r="M53" s="253"/>
      <c r="N53" s="253"/>
      <c r="O53" s="253"/>
      <c r="P53" s="253"/>
      <c r="Q53" s="253"/>
      <c r="R53" s="253"/>
    </row>
    <row r="54" spans="8:18">
      <c r="H54" s="447" t="s">
        <v>351</v>
      </c>
      <c r="I54" s="447"/>
      <c r="J54" s="447"/>
      <c r="K54" s="447"/>
      <c r="L54" s="447"/>
      <c r="M54" s="447"/>
      <c r="N54" s="447"/>
      <c r="O54" s="447"/>
      <c r="P54" s="447"/>
      <c r="Q54" s="447"/>
      <c r="R54" s="447"/>
    </row>
    <row r="55" spans="8:18">
      <c r="H55" s="448"/>
      <c r="I55" s="449"/>
      <c r="J55" s="452" t="str">
        <f>J45</f>
        <v>Scooter G1</v>
      </c>
      <c r="K55" s="453"/>
      <c r="L55" s="454"/>
      <c r="M55" s="452" t="str">
        <f t="shared" ref="M55" si="7">M45</f>
        <v>Scooter G2</v>
      </c>
      <c r="N55" s="453"/>
      <c r="O55" s="454"/>
      <c r="P55" s="452" t="str">
        <f t="shared" ref="P55" si="8">P45</f>
        <v>Scooter G3</v>
      </c>
      <c r="Q55" s="453"/>
      <c r="R55" s="454"/>
    </row>
    <row r="56" spans="8:18">
      <c r="H56" s="450"/>
      <c r="I56" s="451"/>
      <c r="J56" s="255" t="s">
        <v>336</v>
      </c>
      <c r="K56" s="255" t="s">
        <v>337</v>
      </c>
      <c r="L56" s="255" t="s">
        <v>338</v>
      </c>
      <c r="M56" s="255" t="s">
        <v>336</v>
      </c>
      <c r="N56" s="255" t="s">
        <v>337</v>
      </c>
      <c r="O56" s="255" t="s">
        <v>338</v>
      </c>
      <c r="P56" s="255" t="s">
        <v>336</v>
      </c>
      <c r="Q56" s="255" t="s">
        <v>337</v>
      </c>
      <c r="R56" s="255" t="s">
        <v>338</v>
      </c>
    </row>
    <row r="57" spans="8:18">
      <c r="H57" s="455" t="s">
        <v>352</v>
      </c>
      <c r="I57" s="456"/>
      <c r="J57" s="247">
        <f>J52</f>
        <v>2015</v>
      </c>
      <c r="K57" s="213">
        <f t="shared" ref="K57:R57" si="9">K52</f>
        <v>268.44069478908187</v>
      </c>
      <c r="L57" s="213">
        <f t="shared" si="9"/>
        <v>540908</v>
      </c>
      <c r="M57" s="247">
        <f t="shared" si="9"/>
        <v>0</v>
      </c>
      <c r="N57" s="213" t="e">
        <f t="shared" si="9"/>
        <v>#DIV/0!</v>
      </c>
      <c r="O57" s="213">
        <f t="shared" si="9"/>
        <v>0</v>
      </c>
      <c r="P57" s="247">
        <f t="shared" si="9"/>
        <v>0</v>
      </c>
      <c r="Q57" s="213" t="e">
        <f t="shared" si="9"/>
        <v>#DIV/0!</v>
      </c>
      <c r="R57" s="213">
        <f t="shared" si="9"/>
        <v>0</v>
      </c>
    </row>
    <row r="58" spans="8:18">
      <c r="H58" s="443" t="s">
        <v>311</v>
      </c>
      <c r="I58" s="443"/>
      <c r="J58" s="248"/>
      <c r="K58" s="201"/>
      <c r="L58" s="201"/>
      <c r="M58" s="248"/>
      <c r="N58" s="201"/>
      <c r="O58" s="201"/>
      <c r="P58" s="248"/>
      <c r="Q58" s="201"/>
      <c r="R58" s="201"/>
    </row>
    <row r="59" spans="8:18">
      <c r="H59" s="443" t="s">
        <v>312</v>
      </c>
      <c r="I59" s="443"/>
      <c r="J59" s="248"/>
      <c r="K59" s="201"/>
      <c r="L59" s="201"/>
      <c r="M59" s="248"/>
      <c r="N59" s="201"/>
      <c r="O59" s="201"/>
      <c r="P59" s="248"/>
      <c r="Q59" s="201"/>
      <c r="R59" s="201"/>
    </row>
    <row r="60" spans="8:18">
      <c r="H60" s="444" t="str">
        <f>F3</f>
        <v>Administration</v>
      </c>
      <c r="I60" s="445"/>
      <c r="J60" s="247">
        <f>L47</f>
        <v>440908</v>
      </c>
      <c r="K60" s="213">
        <f>$F$17</f>
        <v>7.0143884892086325E-2</v>
      </c>
      <c r="L60" s="213">
        <f>J60*K60</f>
        <v>30926.999999999996</v>
      </c>
      <c r="M60" s="247">
        <f>O47</f>
        <v>0</v>
      </c>
      <c r="N60" s="213">
        <f>$F$17</f>
        <v>7.0143884892086325E-2</v>
      </c>
      <c r="O60" s="213">
        <f>M60*N60</f>
        <v>0</v>
      </c>
      <c r="P60" s="247">
        <f>R47</f>
        <v>0</v>
      </c>
      <c r="Q60" s="213">
        <f>$F$17</f>
        <v>7.0143884892086325E-2</v>
      </c>
      <c r="R60" s="213">
        <f>P60*Q60</f>
        <v>0</v>
      </c>
    </row>
    <row r="61" spans="8:18">
      <c r="H61" s="446" t="s">
        <v>31</v>
      </c>
      <c r="I61" s="446"/>
      <c r="J61" s="247">
        <f>J57</f>
        <v>2015</v>
      </c>
      <c r="K61" s="213">
        <f>L61/J61</f>
        <v>268.44069478908187</v>
      </c>
      <c r="L61" s="250">
        <f>SUM(L57:L59)</f>
        <v>540908</v>
      </c>
      <c r="M61" s="247">
        <f>M57</f>
        <v>0</v>
      </c>
      <c r="N61" s="213" t="e">
        <f>O61/M61</f>
        <v>#DIV/0!</v>
      </c>
      <c r="O61" s="250">
        <f>SUM(O57:O59)</f>
        <v>0</v>
      </c>
      <c r="P61" s="247">
        <f>P57</f>
        <v>0</v>
      </c>
      <c r="Q61" s="213" t="e">
        <f>R61/P61</f>
        <v>#DIV/0!</v>
      </c>
      <c r="R61" s="250">
        <f>SUM(R57:R59)</f>
        <v>0</v>
      </c>
    </row>
  </sheetData>
  <mergeCells count="50">
    <mergeCell ref="H2:R2"/>
    <mergeCell ref="H7:I7"/>
    <mergeCell ref="H8:I8"/>
    <mergeCell ref="B5:B6"/>
    <mergeCell ref="B3:C3"/>
    <mergeCell ref="B2:F2"/>
    <mergeCell ref="J3:L3"/>
    <mergeCell ref="H5:I5"/>
    <mergeCell ref="H6:I6"/>
    <mergeCell ref="H9:I9"/>
    <mergeCell ref="H10:I10"/>
    <mergeCell ref="H3:I4"/>
    <mergeCell ref="M3:O3"/>
    <mergeCell ref="P3:R3"/>
    <mergeCell ref="H12:R12"/>
    <mergeCell ref="H13:I14"/>
    <mergeCell ref="J13:L13"/>
    <mergeCell ref="M13:O13"/>
    <mergeCell ref="P13:R13"/>
    <mergeCell ref="H19:I19"/>
    <mergeCell ref="H21:I21"/>
    <mergeCell ref="H15:I15"/>
    <mergeCell ref="H18:I18"/>
    <mergeCell ref="H20:I20"/>
    <mergeCell ref="H16:I16"/>
    <mergeCell ref="H47:I47"/>
    <mergeCell ref="H48:I48"/>
    <mergeCell ref="H51:I51"/>
    <mergeCell ref="H52:I52"/>
    <mergeCell ref="G23:G42"/>
    <mergeCell ref="H50:I50"/>
    <mergeCell ref="H49:I49"/>
    <mergeCell ref="H23:O23"/>
    <mergeCell ref="H30:O30"/>
    <mergeCell ref="H37:O37"/>
    <mergeCell ref="H44:R44"/>
    <mergeCell ref="H45:I46"/>
    <mergeCell ref="J45:L45"/>
    <mergeCell ref="M45:O45"/>
    <mergeCell ref="P45:R45"/>
    <mergeCell ref="H58:I58"/>
    <mergeCell ref="H60:I60"/>
    <mergeCell ref="H59:I59"/>
    <mergeCell ref="H61:I61"/>
    <mergeCell ref="H54:R54"/>
    <mergeCell ref="H55:I56"/>
    <mergeCell ref="J55:L55"/>
    <mergeCell ref="M55:O55"/>
    <mergeCell ref="P55:R55"/>
    <mergeCell ref="H57:I5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20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Donnees_de_jeu</vt:lpstr>
      <vt:lpstr>Données_comptables</vt:lpstr>
      <vt:lpstr>Données_financières</vt:lpstr>
      <vt:lpstr>Données_RH</vt:lpstr>
      <vt:lpstr>Données_techniques</vt:lpstr>
      <vt:lpstr>Données_commerciales</vt:lpstr>
      <vt:lpstr>Charges_compta_analytique</vt:lpstr>
      <vt:lpstr>Coûts_partiels</vt:lpstr>
      <vt:lpstr>Coûts_complets</vt:lpstr>
      <vt:lpstr>Ecarts</vt:lpstr>
      <vt:lpstr>SIG</vt:lpstr>
      <vt:lpstr>(C)AF</vt:lpstr>
      <vt:lpstr>Bilan_fonc</vt:lpstr>
      <vt:lpstr>Proj_inv</vt:lpstr>
      <vt:lpstr>Ratios_analyse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BATISTA SOARES</dc:creator>
  <cp:lastModifiedBy>BATISTA SOARES</cp:lastModifiedBy>
  <cp:revision>5</cp:revision>
  <cp:lastPrinted>2023-06-26T12:58:33Z</cp:lastPrinted>
  <dcterms:created xsi:type="dcterms:W3CDTF">2022-11-13T11:38:28Z</dcterms:created>
  <dcterms:modified xsi:type="dcterms:W3CDTF">2023-06-28T14:52:29Z</dcterms:modified>
</cp:coreProperties>
</file>